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8520" tabRatio="373" activeTab="3"/>
  </bookViews>
  <sheets>
    <sheet name="Смета 21" sheetId="29" r:id="rId1"/>
    <sheet name="Тарифы 21" sheetId="30" r:id="rId2"/>
    <sheet name="Тарифы 22" sheetId="32" r:id="rId3"/>
    <sheet name="Смета 22 " sheetId="34" r:id="rId4"/>
  </sheets>
  <externalReferences>
    <externalReference r:id="rId5"/>
  </externalReferences>
  <calcPr calcId="145621" refMode="R1C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60" i="32" l="1"/>
  <c r="F145" i="32"/>
  <c r="G160" i="32"/>
  <c r="E30" i="32"/>
  <c r="F92" i="29" l="1"/>
  <c r="G92" i="29"/>
  <c r="F90" i="34"/>
  <c r="G90" i="34" s="1"/>
  <c r="D28" i="32"/>
  <c r="E26" i="32"/>
  <c r="E36" i="32"/>
  <c r="E35" i="32"/>
  <c r="E34" i="32"/>
  <c r="E32" i="32"/>
  <c r="E31" i="32"/>
  <c r="G42" i="34"/>
  <c r="G40" i="34"/>
  <c r="F52" i="34"/>
  <c r="G49" i="34"/>
  <c r="G37" i="34"/>
  <c r="G36" i="34"/>
  <c r="F35" i="34"/>
  <c r="G35" i="34"/>
  <c r="D34" i="32"/>
  <c r="F34" i="32" s="1"/>
  <c r="F33" i="32"/>
  <c r="D32" i="32"/>
  <c r="E24" i="32"/>
  <c r="E23" i="32"/>
  <c r="E22" i="32"/>
  <c r="E21" i="32"/>
  <c r="E20" i="32"/>
  <c r="E19" i="32"/>
  <c r="E18" i="32"/>
  <c r="G136" i="34"/>
  <c r="G137" i="34"/>
  <c r="G135" i="34"/>
  <c r="G134" i="34"/>
  <c r="G133" i="34"/>
  <c r="G132" i="34"/>
  <c r="G130" i="34"/>
  <c r="G127" i="34"/>
  <c r="G126" i="34"/>
  <c r="G125" i="34"/>
  <c r="G124" i="34"/>
  <c r="F110" i="34" l="1"/>
  <c r="F85" i="34" l="1"/>
  <c r="F84" i="34" s="1"/>
  <c r="G58" i="29"/>
  <c r="F58" i="29"/>
  <c r="F58" i="34"/>
  <c r="F106" i="34"/>
  <c r="F105" i="34"/>
  <c r="F104" i="34"/>
  <c r="F103" i="34"/>
  <c r="F102" i="34"/>
  <c r="F101" i="34"/>
  <c r="F100" i="34"/>
  <c r="F99" i="34"/>
  <c r="F98" i="34"/>
  <c r="F97" i="34"/>
  <c r="G96" i="34"/>
  <c r="G95" i="34"/>
  <c r="F95" i="34" s="1"/>
  <c r="G94" i="34"/>
  <c r="F94" i="34" s="1"/>
  <c r="G93" i="34"/>
  <c r="G92" i="34" s="1"/>
  <c r="D30" i="32" s="1"/>
  <c r="F18" i="34"/>
  <c r="F121" i="34"/>
  <c r="F120" i="34"/>
  <c r="F119" i="34"/>
  <c r="F118" i="34"/>
  <c r="F117" i="34"/>
  <c r="F116" i="34"/>
  <c r="F115" i="34"/>
  <c r="G114" i="34"/>
  <c r="F113" i="34"/>
  <c r="G112" i="34"/>
  <c r="G111" i="34"/>
  <c r="F109" i="34"/>
  <c r="G107" i="34"/>
  <c r="F91" i="34"/>
  <c r="F86" i="34"/>
  <c r="G84" i="34"/>
  <c r="F83" i="34"/>
  <c r="F82" i="34"/>
  <c r="F81" i="34"/>
  <c r="F80" i="34"/>
  <c r="F79" i="34"/>
  <c r="F78" i="34"/>
  <c r="F77" i="34"/>
  <c r="F76" i="34"/>
  <c r="G75" i="34"/>
  <c r="F75" i="34"/>
  <c r="F74" i="34"/>
  <c r="F73" i="34"/>
  <c r="F71" i="34" s="1"/>
  <c r="F72" i="34"/>
  <c r="G71" i="34"/>
  <c r="F70" i="34"/>
  <c r="F69" i="34"/>
  <c r="F67" i="34" s="1"/>
  <c r="F68" i="34"/>
  <c r="G67" i="34"/>
  <c r="F66" i="34"/>
  <c r="F65" i="34"/>
  <c r="F63" i="34"/>
  <c r="F62" i="34"/>
  <c r="F61" i="34"/>
  <c r="F60" i="34"/>
  <c r="G59" i="34"/>
  <c r="F59" i="34"/>
  <c r="F55" i="34"/>
  <c r="F54" i="34"/>
  <c r="F53" i="34"/>
  <c r="F51" i="34"/>
  <c r="G48" i="34"/>
  <c r="G45" i="34"/>
  <c r="G44" i="34"/>
  <c r="G43" i="34"/>
  <c r="G41" i="34"/>
  <c r="G131" i="34" s="1"/>
  <c r="G39" i="34"/>
  <c r="G129" i="34" s="1"/>
  <c r="G38" i="34"/>
  <c r="G128" i="34" s="1"/>
  <c r="F32" i="34"/>
  <c r="G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G17" i="34"/>
  <c r="F17" i="34" s="1"/>
  <c r="D170" i="32"/>
  <c r="D150" i="32"/>
  <c r="C170" i="32"/>
  <c r="F169" i="32"/>
  <c r="E169" i="32"/>
  <c r="G169" i="32" s="1"/>
  <c r="F168" i="32"/>
  <c r="E168" i="32"/>
  <c r="G168" i="32" s="1"/>
  <c r="F167" i="32"/>
  <c r="E167" i="32"/>
  <c r="G167" i="32" s="1"/>
  <c r="F166" i="32"/>
  <c r="E166" i="32"/>
  <c r="G166" i="32" s="1"/>
  <c r="F165" i="32"/>
  <c r="E165" i="32"/>
  <c r="G165" i="32" s="1"/>
  <c r="F164" i="32"/>
  <c r="E164" i="32"/>
  <c r="G164" i="32" s="1"/>
  <c r="F163" i="32"/>
  <c r="E163" i="32"/>
  <c r="G163" i="32" s="1"/>
  <c r="F162" i="32"/>
  <c r="E162" i="32"/>
  <c r="G162" i="32" s="1"/>
  <c r="F161" i="32"/>
  <c r="E161" i="32"/>
  <c r="G161" i="32" s="1"/>
  <c r="F170" i="32"/>
  <c r="E160" i="32"/>
  <c r="E170" i="32" s="1"/>
  <c r="D193" i="32" l="1"/>
  <c r="F93" i="34"/>
  <c r="F92" i="34" s="1"/>
  <c r="F33" i="34"/>
  <c r="F31" i="34"/>
  <c r="G170" i="32"/>
  <c r="D33" i="32"/>
  <c r="F131" i="32"/>
  <c r="F129" i="32"/>
  <c r="D145" i="32"/>
  <c r="D176" i="32" s="1"/>
  <c r="E145" i="32"/>
  <c r="G145" i="32" s="1"/>
  <c r="F130" i="32"/>
  <c r="E129" i="32"/>
  <c r="G129" i="32" s="1"/>
  <c r="D178" i="32" l="1"/>
  <c r="D152" i="32"/>
  <c r="D151" i="32"/>
  <c r="D149" i="32"/>
  <c r="D148" i="32"/>
  <c r="D146" i="32"/>
  <c r="D184" i="32"/>
  <c r="E184" i="32" s="1"/>
  <c r="D182" i="32"/>
  <c r="F31" i="32" l="1"/>
  <c r="H137" i="29"/>
  <c r="H127" i="29"/>
  <c r="H126" i="29"/>
  <c r="F184" i="32" l="1"/>
  <c r="F182" i="32"/>
  <c r="G91" i="29"/>
  <c r="F91" i="29"/>
  <c r="D155" i="32"/>
  <c r="M124" i="32" s="1"/>
  <c r="H78" i="29"/>
  <c r="D36" i="32" l="1"/>
  <c r="E26" i="30"/>
  <c r="E25" i="30" s="1"/>
  <c r="E99" i="30"/>
  <c r="E109" i="30"/>
  <c r="F84" i="30"/>
  <c r="F54" i="30"/>
  <c r="F69" i="30"/>
  <c r="G69" i="30"/>
  <c r="F99" i="30"/>
  <c r="F100" i="30"/>
  <c r="F71" i="30"/>
  <c r="D26" i="30" l="1"/>
  <c r="F152" i="32" l="1"/>
  <c r="E182" i="32"/>
  <c r="D179" i="32"/>
  <c r="E147" i="32"/>
  <c r="G147" i="32" s="1"/>
  <c r="D177" i="32"/>
  <c r="F176" i="32"/>
  <c r="F119" i="32"/>
  <c r="F116" i="32"/>
  <c r="F115" i="32"/>
  <c r="F114" i="32"/>
  <c r="F146" i="32"/>
  <c r="D109" i="30"/>
  <c r="F93" i="30"/>
  <c r="D180" i="32"/>
  <c r="F180" i="32" s="1"/>
  <c r="D181" i="32"/>
  <c r="F181" i="32" s="1"/>
  <c r="D183" i="32"/>
  <c r="D185" i="32"/>
  <c r="C186" i="32"/>
  <c r="F150" i="32"/>
  <c r="C155" i="32"/>
  <c r="F154" i="32"/>
  <c r="E154" i="32"/>
  <c r="G154" i="32" s="1"/>
  <c r="F153" i="32"/>
  <c r="E153" i="32"/>
  <c r="G153" i="32" s="1"/>
  <c r="F149" i="32"/>
  <c r="E149" i="32"/>
  <c r="G149" i="32" s="1"/>
  <c r="F147" i="32"/>
  <c r="D139" i="32"/>
  <c r="L124" i="32" s="1"/>
  <c r="C139" i="32"/>
  <c r="F138" i="32"/>
  <c r="E138" i="32"/>
  <c r="G138" i="32" s="1"/>
  <c r="F137" i="32"/>
  <c r="E137" i="32"/>
  <c r="G137" i="32" s="1"/>
  <c r="F136" i="32"/>
  <c r="E136" i="32"/>
  <c r="G136" i="32" s="1"/>
  <c r="F135" i="32"/>
  <c r="E135" i="32"/>
  <c r="G135" i="32" s="1"/>
  <c r="F134" i="32"/>
  <c r="E134" i="32"/>
  <c r="G134" i="32" s="1"/>
  <c r="F133" i="32"/>
  <c r="E133" i="32"/>
  <c r="G133" i="32" s="1"/>
  <c r="F132" i="32"/>
  <c r="E132" i="32"/>
  <c r="G132" i="32" s="1"/>
  <c r="E131" i="32"/>
  <c r="G131" i="32" s="1"/>
  <c r="E130" i="32"/>
  <c r="G130" i="32" s="1"/>
  <c r="E99" i="32"/>
  <c r="G99" i="32" s="1"/>
  <c r="F99" i="32"/>
  <c r="D124" i="32"/>
  <c r="C124" i="32"/>
  <c r="F123" i="32"/>
  <c r="E123" i="32"/>
  <c r="G123" i="32" s="1"/>
  <c r="F122" i="32"/>
  <c r="E122" i="32"/>
  <c r="G122" i="32" s="1"/>
  <c r="F121" i="32"/>
  <c r="E121" i="32"/>
  <c r="G121" i="32" s="1"/>
  <c r="F120" i="32"/>
  <c r="E120" i="32"/>
  <c r="G120" i="32" s="1"/>
  <c r="E119" i="32"/>
  <c r="G119" i="32" s="1"/>
  <c r="F118" i="32"/>
  <c r="E118" i="32"/>
  <c r="G118" i="32" s="1"/>
  <c r="F117" i="32"/>
  <c r="E117" i="32"/>
  <c r="G117" i="32" s="1"/>
  <c r="E116" i="32"/>
  <c r="G116" i="32" s="1"/>
  <c r="E115" i="32"/>
  <c r="G115" i="32" s="1"/>
  <c r="E114" i="32"/>
  <c r="D35" i="32"/>
  <c r="F35" i="32" s="1"/>
  <c r="D31" i="32"/>
  <c r="D18" i="32"/>
  <c r="D24" i="32"/>
  <c r="D21" i="32"/>
  <c r="D20" i="32"/>
  <c r="D19" i="32"/>
  <c r="D109" i="32"/>
  <c r="C109" i="32"/>
  <c r="F108" i="32"/>
  <c r="E108" i="32"/>
  <c r="G108" i="32" s="1"/>
  <c r="F107" i="32"/>
  <c r="E107" i="32"/>
  <c r="G107" i="32" s="1"/>
  <c r="F106" i="32"/>
  <c r="E106" i="32"/>
  <c r="G106" i="32" s="1"/>
  <c r="F105" i="32"/>
  <c r="E105" i="32"/>
  <c r="G105" i="32" s="1"/>
  <c r="F104" i="32"/>
  <c r="E104" i="32"/>
  <c r="G104" i="32" s="1"/>
  <c r="F103" i="32"/>
  <c r="E103" i="32"/>
  <c r="G103" i="32" s="1"/>
  <c r="F102" i="32"/>
  <c r="E102" i="32"/>
  <c r="G102" i="32" s="1"/>
  <c r="F101" i="32"/>
  <c r="E101" i="32"/>
  <c r="G101" i="32" s="1"/>
  <c r="F100" i="32"/>
  <c r="E100" i="32"/>
  <c r="G100" i="32" s="1"/>
  <c r="D94" i="32"/>
  <c r="C94" i="32"/>
  <c r="F93" i="32"/>
  <c r="E93" i="32"/>
  <c r="G93" i="32" s="1"/>
  <c r="F92" i="32"/>
  <c r="E92" i="32"/>
  <c r="G92" i="32" s="1"/>
  <c r="F91" i="32"/>
  <c r="E91" i="32"/>
  <c r="G91" i="32" s="1"/>
  <c r="F90" i="32"/>
  <c r="E90" i="32"/>
  <c r="G90" i="32" s="1"/>
  <c r="F89" i="32"/>
  <c r="E89" i="32"/>
  <c r="G89" i="32" s="1"/>
  <c r="F88" i="32"/>
  <c r="E88" i="32"/>
  <c r="G88" i="32" s="1"/>
  <c r="F87" i="32"/>
  <c r="E87" i="32"/>
  <c r="G87" i="32" s="1"/>
  <c r="F86" i="32"/>
  <c r="E86" i="32"/>
  <c r="G86" i="32" s="1"/>
  <c r="F85" i="32"/>
  <c r="E85" i="32"/>
  <c r="G85" i="32" s="1"/>
  <c r="F84" i="32"/>
  <c r="E84" i="32"/>
  <c r="D79" i="32"/>
  <c r="C79" i="32"/>
  <c r="F78" i="32"/>
  <c r="E78" i="32"/>
  <c r="G78" i="32" s="1"/>
  <c r="F77" i="32"/>
  <c r="E77" i="32"/>
  <c r="G77" i="32" s="1"/>
  <c r="F76" i="32"/>
  <c r="E76" i="32"/>
  <c r="G76" i="32" s="1"/>
  <c r="F75" i="32"/>
  <c r="E75" i="32"/>
  <c r="G75" i="32" s="1"/>
  <c r="F74" i="32"/>
  <c r="E74" i="32"/>
  <c r="G74" i="32" s="1"/>
  <c r="F73" i="32"/>
  <c r="E73" i="32"/>
  <c r="G73" i="32" s="1"/>
  <c r="F72" i="32"/>
  <c r="E72" i="32"/>
  <c r="G72" i="32" s="1"/>
  <c r="F71" i="32"/>
  <c r="E71" i="32"/>
  <c r="G71" i="32" s="1"/>
  <c r="F70" i="32"/>
  <c r="E70" i="32"/>
  <c r="G70" i="32" s="1"/>
  <c r="F69" i="32"/>
  <c r="E69" i="32"/>
  <c r="G69" i="32" s="1"/>
  <c r="D64" i="32"/>
  <c r="C64" i="32"/>
  <c r="F63" i="32"/>
  <c r="E63" i="32"/>
  <c r="G63" i="32" s="1"/>
  <c r="F62" i="32"/>
  <c r="E62" i="32"/>
  <c r="G62" i="32" s="1"/>
  <c r="F61" i="32"/>
  <c r="E61" i="32"/>
  <c r="G61" i="32" s="1"/>
  <c r="F60" i="32"/>
  <c r="E60" i="32"/>
  <c r="G60" i="32" s="1"/>
  <c r="F59" i="32"/>
  <c r="E59" i="32"/>
  <c r="G59" i="32" s="1"/>
  <c r="F58" i="32"/>
  <c r="E58" i="32"/>
  <c r="G58" i="32" s="1"/>
  <c r="F57" i="32"/>
  <c r="E57" i="32"/>
  <c r="G57" i="32" s="1"/>
  <c r="F56" i="32"/>
  <c r="E56" i="32"/>
  <c r="G56" i="32" s="1"/>
  <c r="F55" i="32"/>
  <c r="E55" i="32"/>
  <c r="G55" i="32" s="1"/>
  <c r="F54" i="32"/>
  <c r="E54" i="32"/>
  <c r="G54" i="32" s="1"/>
  <c r="E29" i="32"/>
  <c r="G34" i="29"/>
  <c r="H34" i="29"/>
  <c r="H139" i="29"/>
  <c r="H138" i="29"/>
  <c r="H140" i="29"/>
  <c r="G140" i="29"/>
  <c r="G138" i="29"/>
  <c r="H135" i="29"/>
  <c r="H136" i="29"/>
  <c r="H134" i="29"/>
  <c r="H27" i="29"/>
  <c r="H133" i="29"/>
  <c r="H132" i="29"/>
  <c r="H131" i="29"/>
  <c r="H130" i="29"/>
  <c r="H22" i="29"/>
  <c r="H129" i="29" s="1"/>
  <c r="H128" i="29"/>
  <c r="K124" i="32" l="1"/>
  <c r="D26" i="32"/>
  <c r="F88" i="34" s="1"/>
  <c r="D29" i="32"/>
  <c r="D186" i="32"/>
  <c r="N124" i="32"/>
  <c r="F177" i="32"/>
  <c r="E183" i="32"/>
  <c r="G183" i="32" s="1"/>
  <c r="F183" i="32"/>
  <c r="E185" i="32"/>
  <c r="G185" i="32" s="1"/>
  <c r="F185" i="32"/>
  <c r="E146" i="32"/>
  <c r="G146" i="32" s="1"/>
  <c r="E151" i="32"/>
  <c r="G151" i="32" s="1"/>
  <c r="E152" i="32"/>
  <c r="G152" i="32" s="1"/>
  <c r="F151" i="32"/>
  <c r="E181" i="32"/>
  <c r="G181" i="32" s="1"/>
  <c r="E180" i="32"/>
  <c r="G180" i="32" s="1"/>
  <c r="F179" i="32"/>
  <c r="E179" i="32"/>
  <c r="G179" i="32" s="1"/>
  <c r="F148" i="32"/>
  <c r="F178" i="32"/>
  <c r="E177" i="32"/>
  <c r="G177" i="32" s="1"/>
  <c r="E176" i="32"/>
  <c r="G176" i="32" s="1"/>
  <c r="G184" i="32"/>
  <c r="G182" i="32"/>
  <c r="F79" i="32"/>
  <c r="E124" i="32"/>
  <c r="F64" i="32"/>
  <c r="F124" i="32"/>
  <c r="G109" i="32"/>
  <c r="E94" i="32"/>
  <c r="F94" i="32"/>
  <c r="F109" i="32"/>
  <c r="G84" i="32"/>
  <c r="G94" i="32" s="1"/>
  <c r="E64" i="32"/>
  <c r="E79" i="32"/>
  <c r="G139" i="32"/>
  <c r="F139" i="32"/>
  <c r="E150" i="32"/>
  <c r="G150" i="32" s="1"/>
  <c r="E148" i="32"/>
  <c r="G148" i="32" s="1"/>
  <c r="E139" i="32"/>
  <c r="G114" i="32"/>
  <c r="G124" i="32" s="1"/>
  <c r="G64" i="32"/>
  <c r="G79" i="32"/>
  <c r="E109" i="32"/>
  <c r="D23" i="32"/>
  <c r="G88" i="34" l="1"/>
  <c r="D188" i="32"/>
  <c r="F186" i="32"/>
  <c r="E155" i="32"/>
  <c r="F155" i="32"/>
  <c r="E27" i="32" s="1"/>
  <c r="E178" i="32"/>
  <c r="G178" i="32" s="1"/>
  <c r="G186" i="32" s="1"/>
  <c r="G155" i="32"/>
  <c r="D22" i="32"/>
  <c r="D27" i="32" l="1"/>
  <c r="F89" i="34" s="1"/>
  <c r="E25" i="32"/>
  <c r="E17" i="32" s="1"/>
  <c r="E186" i="32"/>
  <c r="H61" i="29"/>
  <c r="H96" i="29"/>
  <c r="H77" i="29"/>
  <c r="H73" i="29"/>
  <c r="H69" i="29"/>
  <c r="H19" i="29"/>
  <c r="H20" i="29"/>
  <c r="H21" i="29"/>
  <c r="H24" i="29"/>
  <c r="H25" i="29"/>
  <c r="H26" i="29"/>
  <c r="H28" i="29"/>
  <c r="H29" i="29"/>
  <c r="H30" i="29"/>
  <c r="H31" i="29"/>
  <c r="H32" i="29"/>
  <c r="H33" i="29"/>
  <c r="H18" i="29"/>
  <c r="H44" i="29"/>
  <c r="H47" i="29"/>
  <c r="H116" i="29"/>
  <c r="F17" i="32" l="1"/>
  <c r="E16" i="32"/>
  <c r="D16" i="32" s="1"/>
  <c r="D25" i="32"/>
  <c r="G89" i="34"/>
  <c r="G87" i="34" s="1"/>
  <c r="G57" i="34" s="1"/>
  <c r="F87" i="34"/>
  <c r="H89" i="29"/>
  <c r="G34" i="34" l="1"/>
  <c r="G123" i="34" s="1"/>
  <c r="G56" i="34"/>
  <c r="F57" i="34"/>
  <c r="F56" i="34" s="1"/>
  <c r="D17" i="32"/>
  <c r="H59" i="29"/>
  <c r="H125" i="29" s="1"/>
  <c r="G112" i="29"/>
  <c r="I112" i="29" s="1"/>
  <c r="G38" i="29"/>
  <c r="E32" i="30" s="1"/>
  <c r="G100" i="29"/>
  <c r="F93" i="29"/>
  <c r="F90" i="29"/>
  <c r="G122" i="34" l="1"/>
  <c r="G33" i="34"/>
  <c r="G39" i="29"/>
  <c r="F39" i="29" s="1"/>
  <c r="H58" i="29"/>
  <c r="E18" i="30"/>
  <c r="E36" i="30"/>
  <c r="E29" i="30"/>
  <c r="C109" i="30" l="1"/>
  <c r="F108" i="30"/>
  <c r="E108" i="30"/>
  <c r="G108" i="30" s="1"/>
  <c r="F107" i="30"/>
  <c r="E107" i="30"/>
  <c r="G107" i="30" s="1"/>
  <c r="F106" i="30"/>
  <c r="E106" i="30"/>
  <c r="G106" i="30" s="1"/>
  <c r="F105" i="30"/>
  <c r="E105" i="30"/>
  <c r="G105" i="30" s="1"/>
  <c r="F104" i="30"/>
  <c r="E104" i="30"/>
  <c r="G104" i="30" s="1"/>
  <c r="F103" i="30"/>
  <c r="E103" i="30"/>
  <c r="G103" i="30" s="1"/>
  <c r="F102" i="30"/>
  <c r="E102" i="30"/>
  <c r="G102" i="30" s="1"/>
  <c r="F101" i="30"/>
  <c r="E101" i="30"/>
  <c r="G101" i="30" s="1"/>
  <c r="E100" i="30"/>
  <c r="G100" i="30" s="1"/>
  <c r="D94" i="30"/>
  <c r="C94" i="30"/>
  <c r="E93" i="30"/>
  <c r="G93" i="30" s="1"/>
  <c r="F92" i="30"/>
  <c r="E92" i="30"/>
  <c r="G92" i="30" s="1"/>
  <c r="F91" i="30"/>
  <c r="E91" i="30"/>
  <c r="G91" i="30" s="1"/>
  <c r="F90" i="30"/>
  <c r="E90" i="30"/>
  <c r="G90" i="30" s="1"/>
  <c r="F89" i="30"/>
  <c r="E89" i="30"/>
  <c r="G89" i="30" s="1"/>
  <c r="F88" i="30"/>
  <c r="E88" i="30"/>
  <c r="G88" i="30" s="1"/>
  <c r="F87" i="30"/>
  <c r="E87" i="30"/>
  <c r="G87" i="30" s="1"/>
  <c r="F86" i="30"/>
  <c r="E86" i="30"/>
  <c r="G86" i="30" s="1"/>
  <c r="F85" i="30"/>
  <c r="E85" i="30"/>
  <c r="G85" i="30" s="1"/>
  <c r="E84" i="30"/>
  <c r="D79" i="30"/>
  <c r="C79" i="30"/>
  <c r="F78" i="30"/>
  <c r="E78" i="30"/>
  <c r="G78" i="30" s="1"/>
  <c r="F77" i="30"/>
  <c r="E77" i="30"/>
  <c r="G77" i="30" s="1"/>
  <c r="F76" i="30"/>
  <c r="E76" i="30"/>
  <c r="G76" i="30" s="1"/>
  <c r="F75" i="30"/>
  <c r="E75" i="30"/>
  <c r="G75" i="30" s="1"/>
  <c r="F74" i="30"/>
  <c r="E74" i="30"/>
  <c r="G74" i="30" s="1"/>
  <c r="F73" i="30"/>
  <c r="E73" i="30"/>
  <c r="G73" i="30" s="1"/>
  <c r="F72" i="30"/>
  <c r="E72" i="30"/>
  <c r="G72" i="30" s="1"/>
  <c r="E71" i="30"/>
  <c r="G71" i="30" s="1"/>
  <c r="F70" i="30"/>
  <c r="E70" i="30"/>
  <c r="G70" i="30" s="1"/>
  <c r="E69" i="30"/>
  <c r="D64" i="30"/>
  <c r="C64" i="30"/>
  <c r="F63" i="30"/>
  <c r="E63" i="30"/>
  <c r="G63" i="30" s="1"/>
  <c r="F62" i="30"/>
  <c r="E62" i="30"/>
  <c r="G62" i="30" s="1"/>
  <c r="F61" i="30"/>
  <c r="E61" i="30"/>
  <c r="G61" i="30" s="1"/>
  <c r="F60" i="30"/>
  <c r="E60" i="30"/>
  <c r="G60" i="30" s="1"/>
  <c r="F59" i="30"/>
  <c r="E59" i="30"/>
  <c r="G59" i="30" s="1"/>
  <c r="F58" i="30"/>
  <c r="E58" i="30"/>
  <c r="G58" i="30" s="1"/>
  <c r="F57" i="30"/>
  <c r="E57" i="30"/>
  <c r="G57" i="30" s="1"/>
  <c r="F56" i="30"/>
  <c r="E56" i="30"/>
  <c r="G56" i="30" s="1"/>
  <c r="F55" i="30"/>
  <c r="E55" i="30"/>
  <c r="G55" i="30" s="1"/>
  <c r="E54" i="30"/>
  <c r="D36" i="30"/>
  <c r="E34" i="30"/>
  <c r="D34" i="30" s="1"/>
  <c r="F34" i="30" s="1"/>
  <c r="D33" i="30"/>
  <c r="F33" i="30" s="1"/>
  <c r="D32" i="30"/>
  <c r="D29" i="30"/>
  <c r="E21" i="30"/>
  <c r="D21" i="30" s="1"/>
  <c r="E20" i="30"/>
  <c r="D20" i="30" s="1"/>
  <c r="D18" i="30"/>
  <c r="E64" i="30" l="1"/>
  <c r="F64" i="30"/>
  <c r="F109" i="30"/>
  <c r="E94" i="30"/>
  <c r="F94" i="30"/>
  <c r="E79" i="30"/>
  <c r="F79" i="30"/>
  <c r="G54" i="30"/>
  <c r="G64" i="30" s="1"/>
  <c r="G79" i="30"/>
  <c r="G84" i="30"/>
  <c r="G94" i="30" s="1"/>
  <c r="G99" i="30"/>
  <c r="G109" i="30" s="1"/>
  <c r="G73" i="29"/>
  <c r="E22" i="30" s="1"/>
  <c r="D22" i="30" s="1"/>
  <c r="F24" i="29"/>
  <c r="F18" i="29"/>
  <c r="G139" i="29"/>
  <c r="G126" i="29"/>
  <c r="F123" i="29"/>
  <c r="F122" i="29"/>
  <c r="F121" i="29"/>
  <c r="F120" i="29"/>
  <c r="F119" i="29"/>
  <c r="F118" i="29"/>
  <c r="F117" i="29"/>
  <c r="G116" i="29"/>
  <c r="G114" i="29"/>
  <c r="G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G99" i="29"/>
  <c r="F99" i="29" s="1"/>
  <c r="G98" i="29"/>
  <c r="F98" i="29" s="1"/>
  <c r="G97" i="29"/>
  <c r="G94" i="29"/>
  <c r="F88" i="29"/>
  <c r="F87" i="29"/>
  <c r="G86" i="29"/>
  <c r="E24" i="30" s="1"/>
  <c r="D24" i="30" s="1"/>
  <c r="F85" i="29"/>
  <c r="F84" i="29"/>
  <c r="F83" i="29"/>
  <c r="F82" i="29"/>
  <c r="F81" i="29"/>
  <c r="F80" i="29"/>
  <c r="F79" i="29"/>
  <c r="F78" i="29"/>
  <c r="G77" i="29"/>
  <c r="E23" i="30" s="1"/>
  <c r="D23" i="30" s="1"/>
  <c r="F76" i="29"/>
  <c r="F75" i="29"/>
  <c r="F74" i="29"/>
  <c r="F72" i="29"/>
  <c r="F71" i="29"/>
  <c r="G71" i="29" s="1"/>
  <c r="F70" i="29"/>
  <c r="G70" i="29" s="1"/>
  <c r="F69" i="29"/>
  <c r="F68" i="29"/>
  <c r="F67" i="29"/>
  <c r="F65" i="29"/>
  <c r="F64" i="29"/>
  <c r="F63" i="29"/>
  <c r="F62" i="29"/>
  <c r="G61" i="29"/>
  <c r="F60" i="29"/>
  <c r="F57" i="29"/>
  <c r="F56" i="29"/>
  <c r="F55" i="29"/>
  <c r="F54" i="29"/>
  <c r="F53" i="29"/>
  <c r="F52" i="29"/>
  <c r="G50" i="29"/>
  <c r="F50" i="29" s="1"/>
  <c r="G49" i="29"/>
  <c r="F49" i="29"/>
  <c r="G48" i="29"/>
  <c r="F48" i="29" s="1"/>
  <c r="G46" i="29"/>
  <c r="F46" i="29" s="1"/>
  <c r="G45" i="29"/>
  <c r="F45" i="29" s="1"/>
  <c r="G43" i="29"/>
  <c r="G134" i="29" s="1"/>
  <c r="G42" i="29"/>
  <c r="F42" i="29" s="1"/>
  <c r="G41" i="29"/>
  <c r="G40" i="29"/>
  <c r="F40" i="29" s="1"/>
  <c r="F38" i="29"/>
  <c r="F36" i="29"/>
  <c r="G36" i="29" s="1"/>
  <c r="F33" i="29"/>
  <c r="F32" i="29"/>
  <c r="F31" i="29"/>
  <c r="F30" i="29"/>
  <c r="F29" i="29"/>
  <c r="F28" i="29"/>
  <c r="F27" i="29"/>
  <c r="F26" i="29"/>
  <c r="F25" i="29"/>
  <c r="G23" i="29"/>
  <c r="F22" i="29"/>
  <c r="F21" i="29"/>
  <c r="F20" i="29"/>
  <c r="F19" i="29"/>
  <c r="F73" i="29" l="1"/>
  <c r="F86" i="29"/>
  <c r="G130" i="29"/>
  <c r="H23" i="29"/>
  <c r="H124" i="29" s="1"/>
  <c r="G132" i="29"/>
  <c r="E35" i="30"/>
  <c r="D35" i="30" s="1"/>
  <c r="F35" i="30" s="1"/>
  <c r="E19" i="30"/>
  <c r="D19" i="30" s="1"/>
  <c r="F77" i="29"/>
  <c r="G127" i="29"/>
  <c r="E30" i="30"/>
  <c r="D30" i="30" s="1"/>
  <c r="F47" i="29"/>
  <c r="F97" i="29"/>
  <c r="G96" i="29"/>
  <c r="G37" i="29" s="1"/>
  <c r="G128" i="29" s="1"/>
  <c r="E27" i="30"/>
  <c r="E28" i="30"/>
  <c r="D28" i="30" s="1"/>
  <c r="G17" i="29"/>
  <c r="F17" i="29" s="1"/>
  <c r="F44" i="29"/>
  <c r="G47" i="29"/>
  <c r="G136" i="29" s="1"/>
  <c r="G44" i="29"/>
  <c r="G135" i="29" s="1"/>
  <c r="G69" i="29"/>
  <c r="F61" i="29"/>
  <c r="F23" i="29"/>
  <c r="G129" i="29"/>
  <c r="G131" i="29"/>
  <c r="G133" i="29"/>
  <c r="G137" i="29"/>
  <c r="F41" i="29"/>
  <c r="F43" i="29"/>
  <c r="F96" i="29" l="1"/>
  <c r="F37" i="29"/>
  <c r="E31" i="30"/>
  <c r="D31" i="30" s="1"/>
  <c r="F31" i="30" s="1"/>
  <c r="D27" i="30"/>
  <c r="F34" i="29"/>
  <c r="G89" i="29"/>
  <c r="F89" i="29"/>
  <c r="G59" i="29" l="1"/>
  <c r="I89" i="29"/>
  <c r="D25" i="30"/>
  <c r="E17" i="30"/>
  <c r="F17" i="30" s="1"/>
  <c r="H22" i="30" s="1"/>
  <c r="G35" i="29"/>
  <c r="D17" i="30" l="1"/>
  <c r="E16" i="30"/>
  <c r="D16" i="30" s="1"/>
  <c r="G125" i="29"/>
  <c r="G124" i="29" s="1"/>
</calcChain>
</file>

<file path=xl/sharedStrings.xml><?xml version="1.0" encoding="utf-8"?>
<sst xmlns="http://schemas.openxmlformats.org/spreadsheetml/2006/main" count="1124" uniqueCount="233">
  <si>
    <t xml:space="preserve">                                                                                            Рассмотрено правлением ТСЖ «Радуга»</t>
  </si>
  <si>
    <t xml:space="preserve">                                                                                             Протокол №___ от __________20__г.  </t>
  </si>
  <si>
    <t xml:space="preserve">                                                                                            Утверждено общим собранием ТСЖ «Радуга»</t>
  </si>
  <si>
    <t xml:space="preserve">                                                                                             Протокол ЗОС №___ от __________20__г.</t>
  </si>
  <si>
    <r>
      <rPr>
        <sz val="11"/>
        <color rgb="FF000000"/>
        <rFont val="Times New Roman"/>
        <family val="1"/>
        <charset val="204"/>
      </rPr>
      <t>Общая (полезная площадь, м</t>
    </r>
    <r>
      <rPr>
        <vertAlign val="superscript"/>
        <sz val="11"/>
        <color rgb="FF000000"/>
        <rFont val="Times New Roman"/>
        <family val="1"/>
        <charset val="204"/>
      </rPr>
      <t>2</t>
    </r>
    <r>
      <rPr>
        <sz val="11"/>
        <color rgb="FF000000"/>
        <rFont val="Times New Roman"/>
        <family val="1"/>
        <charset val="204"/>
      </rPr>
      <t>):</t>
    </r>
  </si>
  <si>
    <t>кв.м.</t>
  </si>
  <si>
    <t>Зарегистрировано по адресу</t>
  </si>
  <si>
    <t>человек</t>
  </si>
  <si>
    <t>Всего квартир</t>
  </si>
  <si>
    <t>шт.</t>
  </si>
  <si>
    <t>№ п\п</t>
  </si>
  <si>
    <t>Наименование Статьи</t>
  </si>
  <si>
    <t>Ед. измерения</t>
  </si>
  <si>
    <t>Кол-во</t>
  </si>
  <si>
    <t>Цена</t>
  </si>
  <si>
    <t>Общая стоимость</t>
  </si>
  <si>
    <t>за месяц</t>
  </si>
  <si>
    <t>в год</t>
  </si>
  <si>
    <t>1</t>
  </si>
  <si>
    <t>2</t>
  </si>
  <si>
    <t>3</t>
  </si>
  <si>
    <t>4</t>
  </si>
  <si>
    <t>Резервный фонд (целевые взносы)</t>
  </si>
  <si>
    <t>5</t>
  </si>
  <si>
    <t>Содержание дома и придомовой террит</t>
  </si>
  <si>
    <t>6</t>
  </si>
  <si>
    <t>Резер по горячей воде</t>
  </si>
  <si>
    <t>7</t>
  </si>
  <si>
    <t>Резер по холодной воде</t>
  </si>
  <si>
    <t>8</t>
  </si>
  <si>
    <t>9</t>
  </si>
  <si>
    <t>Товар (эл.ключи, брелки)</t>
  </si>
  <si>
    <t>10</t>
  </si>
  <si>
    <t>Электроэнергия</t>
  </si>
  <si>
    <t>11</t>
  </si>
  <si>
    <t>Электроэнергия МОП</t>
  </si>
  <si>
    <t>12</t>
  </si>
  <si>
    <t>Вывоз ТБО</t>
  </si>
  <si>
    <t>13</t>
  </si>
  <si>
    <t>Охрана 1 пост</t>
  </si>
  <si>
    <t>14</t>
  </si>
  <si>
    <t>Обслуживание лифтов (225 кв)</t>
  </si>
  <si>
    <t>15</t>
  </si>
  <si>
    <t>Обслуживание домофона, ОПС, СВН</t>
  </si>
  <si>
    <t>Доход</t>
  </si>
  <si>
    <t>Содержание дома и придомовой территории</t>
  </si>
  <si>
    <t>кв.м</t>
  </si>
  <si>
    <t>квт.ч</t>
  </si>
  <si>
    <t>Холодное водоснабжение</t>
  </si>
  <si>
    <t>Холодное водоснабжение, стоки</t>
  </si>
  <si>
    <t>т. м3</t>
  </si>
  <si>
    <t>Горячее водоснабжение, стоки</t>
  </si>
  <si>
    <t>Горячее водоснабжение</t>
  </si>
  <si>
    <t>Отопление</t>
  </si>
  <si>
    <t>т.Г.кал.</t>
  </si>
  <si>
    <t>Комиссия банка за прием платежей у населения</t>
  </si>
  <si>
    <t>%, руб.</t>
  </si>
  <si>
    <t>16</t>
  </si>
  <si>
    <t>Проксими-карта</t>
  </si>
  <si>
    <t>17</t>
  </si>
  <si>
    <t>18</t>
  </si>
  <si>
    <t>Электронный ключ</t>
  </si>
  <si>
    <t>Предоставление права использования конструктивных элементов МКБ новотелеком</t>
  </si>
  <si>
    <t>руб</t>
  </si>
  <si>
    <t>Расход</t>
  </si>
  <si>
    <t>руб.</t>
  </si>
  <si>
    <t>1.1</t>
  </si>
  <si>
    <t>1.2</t>
  </si>
  <si>
    <t>Хозяйственные расходы</t>
  </si>
  <si>
    <t>Канц.товары, заправка картриджа, бумага</t>
  </si>
  <si>
    <t>Моющие средства</t>
  </si>
  <si>
    <t>Швабры, тряпки, губки, щетки</t>
  </si>
  <si>
    <t>Дератизация, дезинфекция, дезинсекция, антиклещ</t>
  </si>
  <si>
    <t>Спец. одежда</t>
  </si>
  <si>
    <t>1.3</t>
  </si>
  <si>
    <t>Оплата связи</t>
  </si>
  <si>
    <t>Стационарная телефонная связь</t>
  </si>
  <si>
    <t>руб/мес</t>
  </si>
  <si>
    <t>Сотовая связь</t>
  </si>
  <si>
    <t>1.4</t>
  </si>
  <si>
    <t>Расчетно-кассовое обслуживание</t>
  </si>
  <si>
    <t>1.5</t>
  </si>
  <si>
    <t>Благоустройство и озеленение</t>
  </si>
  <si>
    <t>Рассада, газонная трава</t>
  </si>
  <si>
    <t>Удобрения</t>
  </si>
  <si>
    <t>Песок, доставка песка</t>
  </si>
  <si>
    <t>1.6</t>
  </si>
  <si>
    <t>Текущий ремонт</t>
  </si>
  <si>
    <t>Кран шаровый, обвязочная арматура</t>
  </si>
  <si>
    <t>Монтаж крана шарового (подрядный договор) сварка</t>
  </si>
  <si>
    <t>Материалы прочие</t>
  </si>
  <si>
    <t>Инструмент</t>
  </si>
  <si>
    <t>1.7</t>
  </si>
  <si>
    <t>Уборка снега</t>
  </si>
  <si>
    <t>1.7.1</t>
  </si>
  <si>
    <t>Мероприятия по уборке снега</t>
  </si>
  <si>
    <t>1.7.2</t>
  </si>
  <si>
    <t>Посыпка для тротуарной плитки (песок)</t>
  </si>
  <si>
    <t>1.8</t>
  </si>
  <si>
    <t>Итого расходы на зарплату</t>
  </si>
  <si>
    <t>1.8.1</t>
  </si>
  <si>
    <t>Заработная плата с НДФЛ по штатному расписанию</t>
  </si>
  <si>
    <t>1.8.2</t>
  </si>
  <si>
    <t>1.8.3</t>
  </si>
  <si>
    <t>1.8.4</t>
  </si>
  <si>
    <t>Фонд поощрения</t>
  </si>
  <si>
    <t>Обсуживание оборудования ИТП (программирование системы)</t>
  </si>
  <si>
    <t>Капитальный ремонт (депозит)</t>
  </si>
  <si>
    <t xml:space="preserve">Оплата работы правления </t>
  </si>
  <si>
    <t>Оплата работы счетной комиссии</t>
  </si>
  <si>
    <t>Тех.освидетельствование лифтов</t>
  </si>
  <si>
    <t>Обслуживание программы электронной отчетности</t>
  </si>
  <si>
    <t xml:space="preserve">Оплата ревизионной комиссии </t>
  </si>
  <si>
    <t>чел</t>
  </si>
  <si>
    <t>Услуги по обслуживанию вычислит.техники и ПО</t>
  </si>
  <si>
    <t>мес</t>
  </si>
  <si>
    <t>Расходы на юридические услуги</t>
  </si>
  <si>
    <t>Непредвиденные расходы</t>
  </si>
  <si>
    <t>%</t>
  </si>
  <si>
    <t>Коммунальные услуги</t>
  </si>
  <si>
    <t>прием стоков</t>
  </si>
  <si>
    <t xml:space="preserve">Капитальный ремонт (1.01.2014-31.01.2014) </t>
  </si>
  <si>
    <t>Резерв по отоплению</t>
  </si>
  <si>
    <t>Вступительные взносы/целевой взнос с автовладельцев</t>
  </si>
  <si>
    <t xml:space="preserve">% по депозиту на капитальный ремонт (1.01.2014-31.01.2014) </t>
  </si>
  <si>
    <t xml:space="preserve">Смета доходов и расходов </t>
  </si>
  <si>
    <t>5c</t>
  </si>
  <si>
    <t>Налоги 30,2%</t>
  </si>
  <si>
    <t>Резерв отпуска</t>
  </si>
  <si>
    <t>Дверные доводчики, электро-ключи, домофон</t>
  </si>
  <si>
    <t xml:space="preserve">Электротовары </t>
  </si>
  <si>
    <t>Товар (эл.ключи, карты доступа)</t>
  </si>
  <si>
    <t>Хозяйственные расходы прочие</t>
  </si>
  <si>
    <t>Страховой полис лифтов</t>
  </si>
  <si>
    <t>Обучение по лифтам и теплоустановкам, охране труда обязательное, ежегодное)</t>
  </si>
  <si>
    <t>1 500/        1 000</t>
  </si>
  <si>
    <t>Налоги при УСН за 2020 год</t>
  </si>
  <si>
    <t xml:space="preserve">Бензин на служебные разьезды </t>
  </si>
  <si>
    <t xml:space="preserve">Ремонт колотой плитки по всему дому </t>
  </si>
  <si>
    <t>Покрытие детской площадки</t>
  </si>
  <si>
    <t>Модерирование сайта и хостинг сайта</t>
  </si>
  <si>
    <t>Обновление программы 1 С</t>
  </si>
  <si>
    <t>ТСЖ "Радуга"  на  2021 год</t>
  </si>
  <si>
    <t>Резервы накопительных фондов на 01.01.2021 г.</t>
  </si>
  <si>
    <t>Капитальный ремонт (1.08.2014-31.12.2020)</t>
  </si>
  <si>
    <t>Капитальный ремонт (1.01.2021-31.12.2021)</t>
  </si>
  <si>
    <t>% по депозиту на капитальный ремонт (1.08.2014-31.12.2021)</t>
  </si>
  <si>
    <t xml:space="preserve">Предоставление права использования конструктивных элементов </t>
  </si>
  <si>
    <t>Резервы накопительных фондов (+) / Перерасход (-) на 01.01.22</t>
  </si>
  <si>
    <t>Капитальный ремонт (1.08.2014-31.12.2021)</t>
  </si>
  <si>
    <t>Тарифы за содержание жилого дома и коммунальные услуги</t>
  </si>
  <si>
    <t>ТСЖ "Радуга" с 01.01.2021 г.</t>
  </si>
  <si>
    <r>
      <t>Общая (полезная площадь, м</t>
    </r>
    <r>
      <rPr>
        <vertAlign val="superscript"/>
        <sz val="11"/>
        <color rgb="FF000000"/>
        <rFont val="Times New Roman"/>
        <family val="1"/>
        <charset val="204"/>
      </rPr>
      <t>2</t>
    </r>
    <r>
      <rPr>
        <sz val="11"/>
        <color rgb="FF000000"/>
        <rFont val="Times New Roman"/>
        <family val="1"/>
        <charset val="204"/>
      </rPr>
      <t>):</t>
    </r>
  </si>
  <si>
    <t>Тариф 2021</t>
  </si>
  <si>
    <t>руб/кв.м.</t>
  </si>
  <si>
    <t>Содержание жилого дома</t>
  </si>
  <si>
    <t>Заработная плата с НДФЛ</t>
  </si>
  <si>
    <t>Резерв отпуска 9%</t>
  </si>
  <si>
    <t>Вывоз ТБО (542 чел).</t>
  </si>
  <si>
    <t>Комиссия банка за прием платежей у населения, %</t>
  </si>
  <si>
    <t>Ресурс</t>
  </si>
  <si>
    <t>ед.изм.</t>
  </si>
  <si>
    <t>Электроэнергия, за 1кВт</t>
  </si>
  <si>
    <t>Холодное водоснабжение, за 1 м3</t>
  </si>
  <si>
    <t>Горячее водоснабжение, за 1 м3</t>
  </si>
  <si>
    <t>Отопление, за 1 м2</t>
  </si>
  <si>
    <t>Капитальный ремонт</t>
  </si>
  <si>
    <t>м2</t>
  </si>
  <si>
    <t>№</t>
  </si>
  <si>
    <t>Должность</t>
  </si>
  <si>
    <t>район. коэф.</t>
  </si>
  <si>
    <t>всего</t>
  </si>
  <si>
    <t>НДФЛ</t>
  </si>
  <si>
    <t>Налоги ФОТ</t>
  </si>
  <si>
    <t>К выдаче</t>
  </si>
  <si>
    <t>Председатель</t>
  </si>
  <si>
    <t>Техник-смотритель</t>
  </si>
  <si>
    <t>Главный бухгалтер</t>
  </si>
  <si>
    <t>Паспортист</t>
  </si>
  <si>
    <t>Сантехник</t>
  </si>
  <si>
    <t>Электрик</t>
  </si>
  <si>
    <t>Уборщица</t>
  </si>
  <si>
    <t>Дворник</t>
  </si>
  <si>
    <t>ИТОГО</t>
  </si>
  <si>
    <t>Штатное расписание по ТСЖ "Радуга" на период с 1.07.21 по 30.10.21</t>
  </si>
  <si>
    <t>Штатное расписание по ТСЖ "Радуга" на период с 1.11.21 по 31.12.21</t>
  </si>
  <si>
    <t>Штатное расписание по ТСЖ "Радуга" на период с 01.01.21 по 28.02.21</t>
  </si>
  <si>
    <t>Штатное расписание по ТСЖ "Радуга" на период с 01.03.21 по 30.06.21</t>
  </si>
  <si>
    <t>Налоги при УСН за 2021 год</t>
  </si>
  <si>
    <t>Оплата жильцам работающим с клумбами/5 подъездов</t>
  </si>
  <si>
    <t>лапмы светчики</t>
  </si>
  <si>
    <t>чип</t>
  </si>
  <si>
    <t>ремонт мотокосы, рег дверей, установка перил, поверка манометра, диагностика тримера, ремонт температурного шва</t>
  </si>
  <si>
    <t>ст-серви , ТБМ. Ручка дверная</t>
  </si>
  <si>
    <t>картридж, бумага, почта, чай. Кофе, батарейки, подарки на н.г;папки, ручки размещение вакансий на сайте;</t>
  </si>
  <si>
    <t>( швабры, тряпкИ. Лопаты)</t>
  </si>
  <si>
    <t>монтаж светильников, размещение обьявления на сайте работа.ру, покупка монитора, чайника и телефона в охрану</t>
  </si>
  <si>
    <t>плюс доначисления в январе-марте.-536566</t>
  </si>
  <si>
    <t xml:space="preserve">                                                                                             Протокол №___ от __________2022г.  </t>
  </si>
  <si>
    <t xml:space="preserve">                                                                                             Протокол ЗОС №___ от __________2022г.</t>
  </si>
  <si>
    <t>ТСЖ "Радуга"  на  2022 год</t>
  </si>
  <si>
    <t>Налоги при УСН за 2022 год</t>
  </si>
  <si>
    <t>Ремонт МОП (в том числе и колотой плитки)</t>
  </si>
  <si>
    <t>Резерв по холодной воде</t>
  </si>
  <si>
    <t>Резерв по горячей воде</t>
  </si>
  <si>
    <t>Капитальный ремонт (1.01.2022-31.12.2022)</t>
  </si>
  <si>
    <t>ТСЖ "Радуга" с 01.01.2022 г.</t>
  </si>
  <si>
    <t>Тариф 2022</t>
  </si>
  <si>
    <t>Штатное расписание по ТСЖ "Радуга" на период с 1.01.22 по 28.02.22</t>
  </si>
  <si>
    <t>Сводная за 2022 год, по средневзвешенной</t>
  </si>
  <si>
    <t xml:space="preserve">Резерв отпуска </t>
  </si>
  <si>
    <t>Оплата жильцам работающим с клумбами/5 подъездов и 2 перед домом</t>
  </si>
  <si>
    <t xml:space="preserve">Вывоз ТБО </t>
  </si>
  <si>
    <t>Штатное расписание по ТСЖ "Радуга" на период с 1.03.22 по 30.06.22</t>
  </si>
  <si>
    <t>Штатное расписание по ТСЖ "Радуга" на период с 1.07.22 по 30.10.22</t>
  </si>
  <si>
    <t>Штатное расписание по ТСЖ "Радуга" на период с 1.11.22 по 31.12.22</t>
  </si>
  <si>
    <t>Прочие</t>
  </si>
  <si>
    <t>1.9.</t>
  </si>
  <si>
    <t>1.9.1</t>
  </si>
  <si>
    <t>1.9.2</t>
  </si>
  <si>
    <t>1.9.3</t>
  </si>
  <si>
    <t>1.9.4</t>
  </si>
  <si>
    <t>1.9.5</t>
  </si>
  <si>
    <t>1.9.6</t>
  </si>
  <si>
    <t>1.8.5</t>
  </si>
  <si>
    <t>1.9.7</t>
  </si>
  <si>
    <t>1.9.8</t>
  </si>
  <si>
    <t>1.8.6</t>
  </si>
  <si>
    <t>1.9.9</t>
  </si>
  <si>
    <t>1.9.10</t>
  </si>
  <si>
    <t>1.9</t>
  </si>
  <si>
    <t>Резервы накопительных фондов на 01.01.2022 г.</t>
  </si>
  <si>
    <t>Резервы накопительных фондов (+) / Перерасход (-) на 01.01.23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</si>
</sst>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#"/>
    <numFmt numFmtId="166" formatCode="#,##0.000"/>
    <numFmt numFmtId="167" formatCode="0.0"/>
  </numFmts>
  <fonts count="12" x14ac:knownFonts="1"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0" tint="-4.9989318521683403E-2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188">
    <xf numFmtId="0" fontId="0" fillId="0" borderId="0" xfId="0"/>
    <xf numFmtId="49" fontId="1" fillId="0" borderId="0" xfId="1" applyNumberFormat="1" applyFont="1"/>
    <xf numFmtId="0" fontId="1" fillId="0" borderId="0" xfId="1" applyFont="1"/>
    <xf numFmtId="3" fontId="0" fillId="0" borderId="0" xfId="0" applyNumberFormat="1"/>
    <xf numFmtId="0" fontId="2" fillId="0" borderId="0" xfId="1" applyFont="1" applyAlignment="1"/>
    <xf numFmtId="0" fontId="3" fillId="0" borderId="0" xfId="1" applyFont="1" applyAlignment="1"/>
    <xf numFmtId="0" fontId="2" fillId="0" borderId="0" xfId="1" applyFont="1" applyAlignment="1">
      <alignment horizontal="right"/>
    </xf>
    <xf numFmtId="0" fontId="3" fillId="0" borderId="0" xfId="1" applyFont="1" applyBorder="1"/>
    <xf numFmtId="0" fontId="3" fillId="0" borderId="0" xfId="1" applyFont="1"/>
    <xf numFmtId="0" fontId="3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/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/>
    <xf numFmtId="49" fontId="3" fillId="2" borderId="1" xfId="1" applyNumberFormat="1" applyFont="1" applyFill="1" applyBorder="1" applyAlignment="1">
      <alignment horizontal="right" vertical="center" wrapText="1"/>
    </xf>
    <xf numFmtId="3" fontId="3" fillId="2" borderId="1" xfId="1" applyNumberFormat="1" applyFont="1" applyFill="1" applyBorder="1"/>
    <xf numFmtId="164" fontId="2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3" fontId="0" fillId="3" borderId="1" xfId="0" applyNumberFormat="1" applyFill="1" applyBorder="1" applyAlignment="1">
      <alignment horizontal="center" vertical="center" wrapText="1"/>
    </xf>
    <xf numFmtId="4" fontId="2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/>
    </xf>
    <xf numFmtId="3" fontId="3" fillId="4" borderId="1" xfId="1" applyNumberFormat="1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 vertical="top" wrapText="1"/>
    </xf>
    <xf numFmtId="4" fontId="3" fillId="4" borderId="1" xfId="1" applyNumberFormat="1" applyFont="1" applyFill="1" applyBorder="1" applyAlignment="1">
      <alignment horizontal="center" vertical="center"/>
    </xf>
    <xf numFmtId="0" fontId="0" fillId="3" borderId="0" xfId="0" applyFill="1"/>
    <xf numFmtId="3" fontId="1" fillId="4" borderId="1" xfId="1" applyNumberFormat="1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/>
    </xf>
    <xf numFmtId="3" fontId="7" fillId="4" borderId="1" xfId="1" applyNumberFormat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166" fontId="3" fillId="4" borderId="1" xfId="1" applyNumberFormat="1" applyFont="1" applyFill="1" applyBorder="1" applyAlignment="1">
      <alignment horizontal="center" vertical="center" wrapText="1"/>
    </xf>
    <xf numFmtId="167" fontId="3" fillId="4" borderId="1" xfId="2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49" fontId="1" fillId="4" borderId="1" xfId="1" applyNumberFormat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vertical="center" wrapText="1"/>
    </xf>
    <xf numFmtId="4" fontId="1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top" wrapText="1"/>
    </xf>
    <xf numFmtId="0" fontId="3" fillId="4" borderId="1" xfId="1" applyFont="1" applyFill="1" applyBorder="1" applyAlignment="1">
      <alignment vertical="top" wrapText="1"/>
    </xf>
    <xf numFmtId="4" fontId="3" fillId="4" borderId="1" xfId="1" applyNumberFormat="1" applyFont="1" applyFill="1" applyBorder="1" applyAlignment="1"/>
    <xf numFmtId="3" fontId="3" fillId="4" borderId="1" xfId="1" applyNumberFormat="1" applyFont="1" applyFill="1" applyBorder="1" applyAlignment="1">
      <alignment horizontal="right"/>
    </xf>
    <xf numFmtId="3" fontId="3" fillId="4" borderId="1" xfId="1" applyNumberFormat="1" applyFont="1" applyFill="1" applyBorder="1" applyAlignment="1">
      <alignment wrapText="1"/>
    </xf>
    <xf numFmtId="49" fontId="1" fillId="4" borderId="1" xfId="1" applyNumberFormat="1" applyFont="1" applyFill="1" applyBorder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4" borderId="1" xfId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/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3" fillId="2" borderId="0" xfId="1" applyFont="1" applyFill="1" applyAlignment="1"/>
    <xf numFmtId="0" fontId="3" fillId="2" borderId="0" xfId="1" applyFont="1" applyFill="1" applyBorder="1"/>
    <xf numFmtId="4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3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/>
    <xf numFmtId="3" fontId="3" fillId="2" borderId="0" xfId="1" applyNumberFormat="1" applyFont="1" applyFill="1" applyAlignment="1">
      <alignment horizontal="center"/>
    </xf>
    <xf numFmtId="49" fontId="3" fillId="2" borderId="0" xfId="1" applyNumberFormat="1" applyFont="1" applyFill="1"/>
    <xf numFmtId="0" fontId="3" fillId="2" borderId="0" xfId="1" applyFont="1" applyFill="1" applyAlignment="1">
      <alignment horizontal="right"/>
    </xf>
    <xf numFmtId="4" fontId="3" fillId="2" borderId="0" xfId="1" applyNumberFormat="1" applyFont="1" applyFill="1"/>
    <xf numFmtId="0" fontId="10" fillId="2" borderId="0" xfId="1" applyFont="1" applyFill="1"/>
    <xf numFmtId="3" fontId="3" fillId="2" borderId="1" xfId="1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/>
    </xf>
    <xf numFmtId="4" fontId="1" fillId="2" borderId="0" xfId="1" applyNumberFormat="1" applyFont="1" applyFill="1"/>
    <xf numFmtId="4" fontId="3" fillId="2" borderId="1" xfId="1" applyNumberFormat="1" applyFont="1" applyFill="1" applyBorder="1"/>
    <xf numFmtId="2" fontId="10" fillId="2" borderId="0" xfId="1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right"/>
    </xf>
    <xf numFmtId="2" fontId="11" fillId="2" borderId="1" xfId="1" applyNumberFormat="1" applyFont="1" applyFill="1" applyBorder="1" applyAlignment="1">
      <alignment horizontal="left" vertical="center" wrapText="1"/>
    </xf>
    <xf numFmtId="49" fontId="2" fillId="2" borderId="0" xfId="1" applyNumberFormat="1" applyFont="1" applyFill="1" applyBorder="1" applyAlignment="1">
      <alignment horizontal="right" vertical="center" wrapText="1"/>
    </xf>
    <xf numFmtId="2" fontId="11" fillId="2" borderId="0" xfId="1" applyNumberFormat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right" vertical="center" wrapText="1"/>
    </xf>
    <xf numFmtId="4" fontId="3" fillId="2" borderId="0" xfId="1" applyNumberFormat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167" fontId="3" fillId="2" borderId="0" xfId="1" applyNumberFormat="1" applyFont="1" applyFill="1" applyBorder="1" applyAlignment="1">
      <alignment horizontal="right" vertical="center" wrapText="1"/>
    </xf>
    <xf numFmtId="0" fontId="0" fillId="2" borderId="0" xfId="0" applyFill="1"/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49" fontId="1" fillId="2" borderId="0" xfId="1" applyNumberFormat="1" applyFont="1" applyFill="1"/>
    <xf numFmtId="49" fontId="2" fillId="4" borderId="1" xfId="1" applyNumberFormat="1" applyFont="1" applyFill="1" applyBorder="1" applyAlignment="1">
      <alignment horizontal="center" vertical="center" wrapText="1"/>
    </xf>
    <xf numFmtId="4" fontId="1" fillId="4" borderId="1" xfId="1" applyNumberFormat="1" applyFont="1" applyFill="1" applyBorder="1" applyAlignment="1">
      <alignment horizontal="center"/>
    </xf>
    <xf numFmtId="3" fontId="3" fillId="4" borderId="7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2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/>
    </xf>
    <xf numFmtId="4" fontId="1" fillId="2" borderId="0" xfId="1" applyNumberFormat="1" applyFont="1" applyFill="1" applyAlignment="1">
      <alignment horizontal="center"/>
    </xf>
    <xf numFmtId="49" fontId="1" fillId="5" borderId="0" xfId="1" applyNumberFormat="1" applyFont="1" applyFill="1"/>
    <xf numFmtId="0" fontId="1" fillId="5" borderId="0" xfId="1" applyFont="1" applyFill="1" applyAlignment="1">
      <alignment horizontal="center"/>
    </xf>
    <xf numFmtId="4" fontId="1" fillId="5" borderId="0" xfId="1" applyNumberFormat="1" applyFont="1" applyFill="1" applyAlignment="1">
      <alignment horizontal="center"/>
    </xf>
    <xf numFmtId="3" fontId="1" fillId="2" borderId="0" xfId="1" applyNumberFormat="1" applyFont="1" applyFill="1"/>
    <xf numFmtId="3" fontId="3" fillId="4" borderId="1" xfId="1" applyNumberFormat="1" applyFont="1" applyFill="1" applyBorder="1"/>
    <xf numFmtId="3" fontId="3" fillId="4" borderId="1" xfId="1" applyNumberFormat="1" applyFont="1" applyFill="1" applyBorder="1" applyAlignment="1">
      <alignment horizontal="right" vertical="center" wrapText="1"/>
    </xf>
    <xf numFmtId="3" fontId="3" fillId="4" borderId="1" xfId="1" applyNumberFormat="1" applyFont="1" applyFill="1" applyBorder="1" applyAlignment="1">
      <alignment horizontal="right" vertical="center"/>
    </xf>
    <xf numFmtId="164" fontId="2" fillId="4" borderId="1" xfId="1" applyNumberFormat="1" applyFont="1" applyFill="1" applyBorder="1"/>
    <xf numFmtId="4" fontId="3" fillId="4" borderId="1" xfId="1" applyNumberFormat="1" applyFont="1" applyFill="1" applyBorder="1"/>
    <xf numFmtId="3" fontId="2" fillId="4" borderId="1" xfId="1" applyNumberFormat="1" applyFont="1" applyFill="1" applyBorder="1" applyAlignment="1">
      <alignment horizontal="right" vertical="center" wrapText="1"/>
    </xf>
    <xf numFmtId="0" fontId="3" fillId="4" borderId="1" xfId="1" applyFont="1" applyFill="1" applyBorder="1"/>
    <xf numFmtId="2" fontId="11" fillId="4" borderId="1" xfId="1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2" fillId="4" borderId="1" xfId="1" applyNumberFormat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3" fontId="3" fillId="4" borderId="0" xfId="1" applyNumberFormat="1" applyFont="1" applyFill="1" applyBorder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3" fontId="1" fillId="2" borderId="0" xfId="1" applyNumberFormat="1" applyFont="1" applyFill="1" applyAlignment="1">
      <alignment horizontal="right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top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top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righ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0" fontId="2" fillId="5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left"/>
    </xf>
    <xf numFmtId="4" fontId="2" fillId="4" borderId="2" xfId="1" applyNumberFormat="1" applyFont="1" applyFill="1" applyBorder="1" applyAlignment="1">
      <alignment horizontal="center" vertical="center"/>
    </xf>
    <xf numFmtId="4" fontId="2" fillId="4" borderId="7" xfId="1" applyNumberFormat="1" applyFont="1" applyFill="1" applyBorder="1" applyAlignment="1">
      <alignment horizontal="center" vertical="center"/>
    </xf>
    <xf numFmtId="4" fontId="2" fillId="4" borderId="3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Пояснение" xfId="1" builtinId="53" customBuiltin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89;&#1084;&#1077;&#1090;&#1072;-&#1080;-&#1090;&#1072;&#1088;&#1080;&#1092;&#1099;%202021%20&#1056;&#1086;&#1084;&#1072;&#1085;%20ver.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мета 2021"/>
      <sheetName val="Тарифы 2021"/>
      <sheetName val="Анализ затрат"/>
    </sheetNames>
    <sheetDataSet>
      <sheetData sheetId="0" refreshError="1">
        <row r="40">
          <cell r="G40">
            <v>244320</v>
          </cell>
        </row>
        <row r="60">
          <cell r="G60">
            <v>115633</v>
          </cell>
        </row>
        <row r="69">
          <cell r="G69">
            <v>13867.2</v>
          </cell>
        </row>
        <row r="72">
          <cell r="G72">
            <v>27060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opLeftCell="A112" workbookViewId="0">
      <selection activeCell="B114" sqref="B114"/>
    </sheetView>
  </sheetViews>
  <sheetFormatPr defaultRowHeight="15" x14ac:dyDescent="0.25"/>
  <cols>
    <col min="1" max="1" width="7.140625" style="1" customWidth="1"/>
    <col min="2" max="2" width="49.140625" style="2" customWidth="1"/>
    <col min="3" max="3" width="11.42578125" style="2" customWidth="1"/>
    <col min="4" max="4" width="10.140625" style="2" customWidth="1"/>
    <col min="5" max="5" width="8.7109375" style="27" customWidth="1"/>
    <col min="6" max="6" width="12" style="24" customWidth="1"/>
    <col min="7" max="7" width="15.7109375" style="24" customWidth="1"/>
    <col min="8" max="8" width="11.28515625" customWidth="1"/>
    <col min="9" max="1015" width="9" customWidth="1"/>
  </cols>
  <sheetData>
    <row r="1" spans="1:7" ht="14.25" x14ac:dyDescent="0.2">
      <c r="A1" s="71" t="s">
        <v>0</v>
      </c>
      <c r="B1" s="71"/>
      <c r="C1" s="71"/>
      <c r="D1" s="71"/>
      <c r="E1" s="72"/>
      <c r="F1" s="72"/>
      <c r="G1" s="72"/>
    </row>
    <row r="2" spans="1:7" ht="14.25" x14ac:dyDescent="0.2">
      <c r="A2" s="169" t="s">
        <v>1</v>
      </c>
      <c r="B2" s="169"/>
      <c r="C2" s="169"/>
      <c r="D2" s="169"/>
      <c r="E2" s="169"/>
      <c r="F2" s="169"/>
      <c r="G2" s="169"/>
    </row>
    <row r="3" spans="1:7" x14ac:dyDescent="0.25">
      <c r="A3" s="4"/>
      <c r="B3" s="4"/>
      <c r="C3" s="5"/>
      <c r="D3" s="6"/>
      <c r="E3" s="26"/>
      <c r="G3" s="22"/>
    </row>
    <row r="4" spans="1:7" ht="14.25" x14ac:dyDescent="0.2">
      <c r="A4" s="169" t="s">
        <v>2</v>
      </c>
      <c r="B4" s="169"/>
      <c r="C4" s="169"/>
      <c r="D4" s="169"/>
      <c r="E4" s="169"/>
      <c r="F4" s="169"/>
      <c r="G4" s="169"/>
    </row>
    <row r="5" spans="1:7" ht="14.25" x14ac:dyDescent="0.2">
      <c r="A5" s="169" t="s">
        <v>3</v>
      </c>
      <c r="B5" s="169"/>
      <c r="C5" s="169"/>
      <c r="D5" s="169"/>
      <c r="E5" s="169"/>
      <c r="F5" s="169"/>
      <c r="G5" s="169"/>
    </row>
    <row r="6" spans="1:7" x14ac:dyDescent="0.25">
      <c r="A6" s="4"/>
      <c r="G6" s="22"/>
    </row>
    <row r="7" spans="1:7" ht="14.25" x14ac:dyDescent="0.2">
      <c r="A7" s="170" t="s">
        <v>125</v>
      </c>
      <c r="B7" s="170"/>
      <c r="C7" s="170"/>
      <c r="D7" s="170"/>
      <c r="E7" s="170"/>
      <c r="F7" s="170"/>
      <c r="G7" s="170"/>
    </row>
    <row r="8" spans="1:7" ht="14.25" x14ac:dyDescent="0.2">
      <c r="A8" s="170" t="s">
        <v>142</v>
      </c>
      <c r="B8" s="170"/>
      <c r="C8" s="170"/>
      <c r="D8" s="170"/>
      <c r="E8" s="170"/>
      <c r="F8" s="170"/>
      <c r="G8" s="170"/>
    </row>
    <row r="9" spans="1:7" x14ac:dyDescent="0.25">
      <c r="A9" s="4"/>
      <c r="B9" s="6"/>
      <c r="G9" s="22"/>
    </row>
    <row r="10" spans="1:7" ht="18" customHeight="1" x14ac:dyDescent="0.25">
      <c r="A10" s="168" t="s">
        <v>4</v>
      </c>
      <c r="B10" s="168"/>
      <c r="C10" s="7"/>
      <c r="D10" s="7"/>
      <c r="E10" s="28"/>
      <c r="F10" s="33">
        <v>12836.4</v>
      </c>
      <c r="G10" s="23" t="s">
        <v>5</v>
      </c>
    </row>
    <row r="11" spans="1:7" ht="12.75" customHeight="1" x14ac:dyDescent="0.25">
      <c r="A11" s="168" t="s">
        <v>6</v>
      </c>
      <c r="B11" s="168"/>
      <c r="C11" s="7"/>
      <c r="D11" s="7"/>
      <c r="E11" s="28"/>
      <c r="F11" s="34">
        <v>269</v>
      </c>
      <c r="G11" s="23" t="s">
        <v>7</v>
      </c>
    </row>
    <row r="12" spans="1:7" ht="12.75" customHeight="1" x14ac:dyDescent="0.25">
      <c r="A12" s="168" t="s">
        <v>8</v>
      </c>
      <c r="B12" s="168"/>
      <c r="C12" s="8"/>
      <c r="D12" s="8"/>
      <c r="E12" s="29"/>
      <c r="F12" s="23">
        <v>249</v>
      </c>
      <c r="G12" s="23" t="s">
        <v>9</v>
      </c>
    </row>
    <row r="13" spans="1:7" ht="12.75" customHeight="1" x14ac:dyDescent="0.2">
      <c r="A13" s="163" t="s">
        <v>10</v>
      </c>
      <c r="B13" s="162" t="s">
        <v>11</v>
      </c>
      <c r="C13" s="165" t="s">
        <v>12</v>
      </c>
      <c r="D13" s="165" t="s">
        <v>13</v>
      </c>
      <c r="E13" s="167" t="s">
        <v>14</v>
      </c>
      <c r="F13" s="165" t="s">
        <v>15</v>
      </c>
      <c r="G13" s="165"/>
    </row>
    <row r="14" spans="1:7" ht="12.75" customHeight="1" x14ac:dyDescent="0.2">
      <c r="A14" s="163"/>
      <c r="B14" s="162"/>
      <c r="C14" s="165"/>
      <c r="D14" s="165"/>
      <c r="E14" s="167"/>
      <c r="F14" s="165"/>
      <c r="G14" s="165"/>
    </row>
    <row r="15" spans="1:7" ht="12.75" customHeight="1" x14ac:dyDescent="0.2">
      <c r="A15" s="163"/>
      <c r="B15" s="162"/>
      <c r="C15" s="165"/>
      <c r="D15" s="165"/>
      <c r="E15" s="167"/>
      <c r="F15" s="165" t="s">
        <v>16</v>
      </c>
      <c r="G15" s="165" t="s">
        <v>17</v>
      </c>
    </row>
    <row r="16" spans="1:7" ht="12.75" customHeight="1" x14ac:dyDescent="0.2">
      <c r="A16" s="163"/>
      <c r="B16" s="162"/>
      <c r="C16" s="165"/>
      <c r="D16" s="165"/>
      <c r="E16" s="167"/>
      <c r="F16" s="165"/>
      <c r="G16" s="165"/>
    </row>
    <row r="17" spans="1:8" ht="12.75" customHeight="1" x14ac:dyDescent="0.2">
      <c r="A17" s="74"/>
      <c r="B17" s="164" t="s">
        <v>143</v>
      </c>
      <c r="C17" s="164"/>
      <c r="D17" s="164"/>
      <c r="E17" s="76"/>
      <c r="F17" s="37">
        <f t="shared" ref="F17:F32" si="0">G17/12</f>
        <v>598509.65818045137</v>
      </c>
      <c r="G17" s="39">
        <f>SUM(G18:G33)</f>
        <v>7182115.8981654169</v>
      </c>
    </row>
    <row r="18" spans="1:8" ht="15" customHeight="1" x14ac:dyDescent="0.2">
      <c r="A18" s="74" t="s">
        <v>18</v>
      </c>
      <c r="B18" s="41" t="s">
        <v>24</v>
      </c>
      <c r="C18" s="73"/>
      <c r="D18" s="73"/>
      <c r="E18" s="49"/>
      <c r="F18" s="37">
        <f>G18/12</f>
        <v>-16595.341819548583</v>
      </c>
      <c r="G18" s="37">
        <v>-199144.10183458301</v>
      </c>
      <c r="H18" s="3">
        <f>SUM(G18)</f>
        <v>-199144.10183458301</v>
      </c>
    </row>
    <row r="19" spans="1:8" x14ac:dyDescent="0.2">
      <c r="A19" s="74" t="s">
        <v>19</v>
      </c>
      <c r="B19" s="41" t="s">
        <v>121</v>
      </c>
      <c r="C19" s="73"/>
      <c r="D19" s="73"/>
      <c r="E19" s="49"/>
      <c r="F19" s="37">
        <f t="shared" si="0"/>
        <v>12615.875</v>
      </c>
      <c r="G19" s="37">
        <v>151390.5</v>
      </c>
      <c r="H19" s="3">
        <f t="shared" ref="H19:H33" si="1">SUM(G19)</f>
        <v>151390.5</v>
      </c>
    </row>
    <row r="20" spans="1:8" x14ac:dyDescent="0.2">
      <c r="A20" s="74"/>
      <c r="B20" s="41" t="s">
        <v>144</v>
      </c>
      <c r="C20" s="73"/>
      <c r="D20" s="73"/>
      <c r="E20" s="49"/>
      <c r="F20" s="37">
        <f t="shared" si="0"/>
        <v>517361.33333333331</v>
      </c>
      <c r="G20" s="37">
        <v>6208336</v>
      </c>
      <c r="H20" s="3">
        <f t="shared" si="1"/>
        <v>6208336</v>
      </c>
    </row>
    <row r="21" spans="1:8" x14ac:dyDescent="0.2">
      <c r="A21" s="74" t="s">
        <v>20</v>
      </c>
      <c r="B21" s="41" t="s">
        <v>22</v>
      </c>
      <c r="C21" s="73"/>
      <c r="D21" s="73"/>
      <c r="E21" s="49"/>
      <c r="F21" s="37">
        <f t="shared" si="0"/>
        <v>35860</v>
      </c>
      <c r="G21" s="37">
        <v>430320</v>
      </c>
      <c r="H21" s="3">
        <f t="shared" si="1"/>
        <v>430320</v>
      </c>
    </row>
    <row r="22" spans="1:8" x14ac:dyDescent="0.25">
      <c r="A22" s="74" t="s">
        <v>21</v>
      </c>
      <c r="B22" s="50" t="s">
        <v>37</v>
      </c>
      <c r="C22" s="73"/>
      <c r="D22" s="73"/>
      <c r="E22" s="49"/>
      <c r="F22" s="37">
        <f t="shared" si="0"/>
        <v>-665.08333333333337</v>
      </c>
      <c r="G22" s="37">
        <v>-7981</v>
      </c>
      <c r="H22" s="3">
        <f>SUM(G22)</f>
        <v>-7981</v>
      </c>
    </row>
    <row r="23" spans="1:8" x14ac:dyDescent="0.25">
      <c r="A23" s="74" t="s">
        <v>23</v>
      </c>
      <c r="B23" s="50" t="s">
        <v>39</v>
      </c>
      <c r="C23" s="73"/>
      <c r="D23" s="73"/>
      <c r="E23" s="49"/>
      <c r="F23" s="37">
        <f t="shared" si="0"/>
        <v>-3570.9166666666665</v>
      </c>
      <c r="G23" s="44">
        <f>-42851</f>
        <v>-42851</v>
      </c>
      <c r="H23" s="3">
        <f t="shared" si="1"/>
        <v>-42851</v>
      </c>
    </row>
    <row r="24" spans="1:8" x14ac:dyDescent="0.25">
      <c r="A24" s="74" t="s">
        <v>25</v>
      </c>
      <c r="B24" s="50" t="s">
        <v>41</v>
      </c>
      <c r="C24" s="73"/>
      <c r="D24" s="73"/>
      <c r="E24" s="49"/>
      <c r="F24" s="37">
        <f t="shared" si="0"/>
        <v>3.25</v>
      </c>
      <c r="G24" s="44">
        <v>39</v>
      </c>
      <c r="H24" s="3">
        <f t="shared" si="1"/>
        <v>39</v>
      </c>
    </row>
    <row r="25" spans="1:8" ht="22.5" customHeight="1" x14ac:dyDescent="0.25">
      <c r="A25" s="74" t="s">
        <v>27</v>
      </c>
      <c r="B25" s="50" t="s">
        <v>43</v>
      </c>
      <c r="C25" s="73"/>
      <c r="D25" s="73"/>
      <c r="E25" s="49"/>
      <c r="F25" s="37">
        <f t="shared" si="0"/>
        <v>6</v>
      </c>
      <c r="G25" s="44">
        <v>72</v>
      </c>
      <c r="H25" s="3">
        <f t="shared" si="1"/>
        <v>72</v>
      </c>
    </row>
    <row r="26" spans="1:8" ht="15" customHeight="1" x14ac:dyDescent="0.2">
      <c r="A26" s="74" t="s">
        <v>29</v>
      </c>
      <c r="B26" s="41" t="s">
        <v>33</v>
      </c>
      <c r="C26" s="73"/>
      <c r="D26" s="73"/>
      <c r="E26" s="49"/>
      <c r="F26" s="37">
        <f t="shared" si="0"/>
        <v>305.95833333333331</v>
      </c>
      <c r="G26" s="37">
        <v>3671.5</v>
      </c>
      <c r="H26" s="3">
        <f t="shared" si="1"/>
        <v>3671.5</v>
      </c>
    </row>
    <row r="27" spans="1:8" ht="15" customHeight="1" x14ac:dyDescent="0.2">
      <c r="A27" s="74" t="s">
        <v>30</v>
      </c>
      <c r="B27" s="41" t="s">
        <v>35</v>
      </c>
      <c r="C27" s="73"/>
      <c r="D27" s="73"/>
      <c r="E27" s="49"/>
      <c r="F27" s="37">
        <f t="shared" si="0"/>
        <v>139.91666666666666</v>
      </c>
      <c r="G27" s="37">
        <v>1679</v>
      </c>
      <c r="H27" s="3">
        <f>SUM(G27)</f>
        <v>1679</v>
      </c>
    </row>
    <row r="28" spans="1:8" ht="15" customHeight="1" x14ac:dyDescent="0.2">
      <c r="A28" s="74" t="s">
        <v>32</v>
      </c>
      <c r="B28" s="41" t="s">
        <v>28</v>
      </c>
      <c r="C28" s="73"/>
      <c r="D28" s="73"/>
      <c r="E28" s="49"/>
      <c r="F28" s="37">
        <f t="shared" si="0"/>
        <v>-19874.166666666668</v>
      </c>
      <c r="G28" s="37">
        <v>-238490</v>
      </c>
      <c r="H28" s="3">
        <f t="shared" si="1"/>
        <v>-238490</v>
      </c>
    </row>
    <row r="29" spans="1:8" ht="15" customHeight="1" x14ac:dyDescent="0.2">
      <c r="A29" s="74" t="s">
        <v>34</v>
      </c>
      <c r="B29" s="41" t="s">
        <v>26</v>
      </c>
      <c r="C29" s="73"/>
      <c r="D29" s="73"/>
      <c r="E29" s="49"/>
      <c r="F29" s="37">
        <f t="shared" si="0"/>
        <v>44882.375</v>
      </c>
      <c r="G29" s="37">
        <v>538588.5</v>
      </c>
      <c r="H29" s="3">
        <f t="shared" si="1"/>
        <v>538588.5</v>
      </c>
    </row>
    <row r="30" spans="1:8" ht="15" customHeight="1" x14ac:dyDescent="0.2">
      <c r="A30" s="74" t="s">
        <v>36</v>
      </c>
      <c r="B30" s="41" t="s">
        <v>122</v>
      </c>
      <c r="C30" s="73"/>
      <c r="D30" s="73"/>
      <c r="E30" s="49"/>
      <c r="F30" s="37">
        <f t="shared" si="0"/>
        <v>15695.208333333334</v>
      </c>
      <c r="G30" s="37">
        <v>188342.5</v>
      </c>
      <c r="H30" s="3">
        <f t="shared" si="1"/>
        <v>188342.5</v>
      </c>
    </row>
    <row r="31" spans="1:8" ht="15" customHeight="1" x14ac:dyDescent="0.2">
      <c r="A31" s="74" t="s">
        <v>38</v>
      </c>
      <c r="B31" s="41" t="s">
        <v>131</v>
      </c>
      <c r="C31" s="73"/>
      <c r="D31" s="73"/>
      <c r="E31" s="49"/>
      <c r="F31" s="37">
        <f t="shared" si="0"/>
        <v>-803.75</v>
      </c>
      <c r="G31" s="37">
        <v>-9645</v>
      </c>
      <c r="H31" s="3">
        <f t="shared" si="1"/>
        <v>-9645</v>
      </c>
    </row>
    <row r="32" spans="1:8" ht="30" customHeight="1" x14ac:dyDescent="0.2">
      <c r="A32" s="74" t="s">
        <v>40</v>
      </c>
      <c r="B32" s="41" t="s">
        <v>123</v>
      </c>
      <c r="C32" s="73"/>
      <c r="D32" s="73"/>
      <c r="E32" s="49"/>
      <c r="F32" s="37">
        <f t="shared" si="0"/>
        <v>1824</v>
      </c>
      <c r="G32" s="37">
        <v>21888</v>
      </c>
      <c r="H32" s="3">
        <f t="shared" si="1"/>
        <v>21888</v>
      </c>
    </row>
    <row r="33" spans="1:8" ht="30" customHeight="1" x14ac:dyDescent="0.25">
      <c r="A33" s="74" t="s">
        <v>42</v>
      </c>
      <c r="B33" s="50" t="s">
        <v>62</v>
      </c>
      <c r="C33" s="73"/>
      <c r="D33" s="73"/>
      <c r="E33" s="49"/>
      <c r="F33" s="37">
        <f>G33/12</f>
        <v>11325</v>
      </c>
      <c r="G33" s="37">
        <v>135900</v>
      </c>
      <c r="H33" s="3">
        <f t="shared" si="1"/>
        <v>135900</v>
      </c>
    </row>
    <row r="34" spans="1:8" ht="42" customHeight="1" x14ac:dyDescent="0.2">
      <c r="A34" s="166" t="s">
        <v>44</v>
      </c>
      <c r="B34" s="166"/>
      <c r="C34" s="166"/>
      <c r="D34" s="166"/>
      <c r="E34" s="166"/>
      <c r="F34" s="45">
        <f>SUM(F35:F57)</f>
        <v>1114026.54693743</v>
      </c>
      <c r="G34" s="45">
        <f>SUM(G35:G57)</f>
        <v>13551358.073273035</v>
      </c>
      <c r="H34" s="45">
        <f>SUM(H35:H57)</f>
        <v>14079887.279999999</v>
      </c>
    </row>
    <row r="35" spans="1:8" x14ac:dyDescent="0.2">
      <c r="A35" s="74" t="s">
        <v>18</v>
      </c>
      <c r="B35" s="41" t="s">
        <v>45</v>
      </c>
      <c r="C35" s="51" t="s">
        <v>46</v>
      </c>
      <c r="D35" s="32">
        <v>12836.4</v>
      </c>
      <c r="E35" s="32"/>
      <c r="F35" s="30">
        <v>262630</v>
      </c>
      <c r="G35" s="30">
        <f>G59</f>
        <v>3402725.569273035</v>
      </c>
      <c r="H35">
        <v>3402432</v>
      </c>
    </row>
    <row r="36" spans="1:8" x14ac:dyDescent="0.2">
      <c r="A36" s="74" t="s">
        <v>19</v>
      </c>
      <c r="B36" s="41" t="s">
        <v>145</v>
      </c>
      <c r="C36" s="51" t="s">
        <v>46</v>
      </c>
      <c r="D36" s="32">
        <v>12836.4</v>
      </c>
      <c r="E36" s="32">
        <v>8.0299999999999994</v>
      </c>
      <c r="F36" s="30">
        <f>D36*E36</f>
        <v>103076.29199999999</v>
      </c>
      <c r="G36" s="30">
        <f>F36*12</f>
        <v>1236915.5039999997</v>
      </c>
      <c r="H36">
        <v>1236853</v>
      </c>
    </row>
    <row r="37" spans="1:8" x14ac:dyDescent="0.2">
      <c r="A37" s="74" t="s">
        <v>20</v>
      </c>
      <c r="B37" s="41" t="s">
        <v>22</v>
      </c>
      <c r="C37" s="51" t="s">
        <v>46</v>
      </c>
      <c r="D37" s="32">
        <v>12836.4</v>
      </c>
      <c r="E37" s="32"/>
      <c r="F37" s="30">
        <f>G37/12</f>
        <v>21974.166666666668</v>
      </c>
      <c r="G37" s="30">
        <f>G96</f>
        <v>263690</v>
      </c>
      <c r="H37">
        <v>263478</v>
      </c>
    </row>
    <row r="38" spans="1:8" x14ac:dyDescent="0.2">
      <c r="A38" s="74" t="s">
        <v>21</v>
      </c>
      <c r="B38" s="41" t="s">
        <v>37</v>
      </c>
      <c r="C38" s="51" t="s">
        <v>46</v>
      </c>
      <c r="D38" s="32"/>
      <c r="E38" s="32"/>
      <c r="F38" s="30">
        <f t="shared" ref="F38:F43" si="2">G38/12</f>
        <v>32797.833333333336</v>
      </c>
      <c r="G38" s="30">
        <f>G111</f>
        <v>393574</v>
      </c>
      <c r="H38">
        <v>513241</v>
      </c>
    </row>
    <row r="39" spans="1:8" x14ac:dyDescent="0.2">
      <c r="A39" s="74" t="s">
        <v>23</v>
      </c>
      <c r="B39" s="41" t="s">
        <v>39</v>
      </c>
      <c r="C39" s="51" t="s">
        <v>46</v>
      </c>
      <c r="D39" s="32">
        <v>12836.4</v>
      </c>
      <c r="E39" s="32"/>
      <c r="F39" s="30">
        <f>G39/12</f>
        <v>57854.166666666664</v>
      </c>
      <c r="G39" s="30">
        <f>G112</f>
        <v>694250</v>
      </c>
      <c r="H39">
        <v>694342</v>
      </c>
    </row>
    <row r="40" spans="1:8" x14ac:dyDescent="0.2">
      <c r="A40" s="74" t="s">
        <v>25</v>
      </c>
      <c r="B40" s="41" t="s">
        <v>41</v>
      </c>
      <c r="C40" s="51" t="s">
        <v>9</v>
      </c>
      <c r="D40" s="51">
        <v>225</v>
      </c>
      <c r="E40" s="32"/>
      <c r="F40" s="30">
        <f t="shared" si="2"/>
        <v>20360</v>
      </c>
      <c r="G40" s="30">
        <f>G113</f>
        <v>244320</v>
      </c>
      <c r="H40">
        <v>244320</v>
      </c>
    </row>
    <row r="41" spans="1:8" x14ac:dyDescent="0.2">
      <c r="A41" s="74" t="s">
        <v>27</v>
      </c>
      <c r="B41" s="52" t="s">
        <v>43</v>
      </c>
      <c r="C41" s="51" t="s">
        <v>9</v>
      </c>
      <c r="D41" s="51">
        <v>249</v>
      </c>
      <c r="E41" s="32"/>
      <c r="F41" s="30">
        <f t="shared" si="2"/>
        <v>9000</v>
      </c>
      <c r="G41" s="30">
        <f>G114</f>
        <v>108000</v>
      </c>
      <c r="H41">
        <v>108016</v>
      </c>
    </row>
    <row r="42" spans="1:8" s="43" customFormat="1" x14ac:dyDescent="0.2">
      <c r="A42" s="74" t="s">
        <v>29</v>
      </c>
      <c r="B42" s="41" t="s">
        <v>33</v>
      </c>
      <c r="C42" s="51" t="s">
        <v>47</v>
      </c>
      <c r="D42" s="32"/>
      <c r="E42" s="32"/>
      <c r="F42" s="30">
        <f t="shared" si="2"/>
        <v>105445.08333333333</v>
      </c>
      <c r="G42" s="30">
        <f>G117</f>
        <v>1265341</v>
      </c>
      <c r="H42" s="43">
        <v>1355888</v>
      </c>
    </row>
    <row r="43" spans="1:8" s="43" customFormat="1" x14ac:dyDescent="0.2">
      <c r="A43" s="74" t="s">
        <v>30</v>
      </c>
      <c r="B43" s="41" t="s">
        <v>35</v>
      </c>
      <c r="C43" s="51" t="s">
        <v>47</v>
      </c>
      <c r="D43" s="37"/>
      <c r="E43" s="32"/>
      <c r="F43" s="30">
        <f t="shared" si="2"/>
        <v>19744.583333333332</v>
      </c>
      <c r="G43" s="30">
        <f>G118</f>
        <v>236935</v>
      </c>
      <c r="H43" s="43">
        <v>192430</v>
      </c>
    </row>
    <row r="44" spans="1:8" s="43" customFormat="1" x14ac:dyDescent="0.2">
      <c r="A44" s="74" t="s">
        <v>32</v>
      </c>
      <c r="B44" s="41" t="s">
        <v>48</v>
      </c>
      <c r="C44" s="51"/>
      <c r="D44" s="32"/>
      <c r="E44" s="32"/>
      <c r="F44" s="42">
        <f>F45+F46</f>
        <v>53818.5</v>
      </c>
      <c r="G44" s="30">
        <f>G45+G46</f>
        <v>645822</v>
      </c>
      <c r="H44" s="30">
        <f>H45+H46</f>
        <v>629674</v>
      </c>
    </row>
    <row r="45" spans="1:8" s="43" customFormat="1" x14ac:dyDescent="0.2">
      <c r="A45" s="74"/>
      <c r="B45" s="41" t="s">
        <v>49</v>
      </c>
      <c r="C45" s="51" t="s">
        <v>50</v>
      </c>
      <c r="D45" s="32"/>
      <c r="E45" s="32"/>
      <c r="F45" s="30">
        <f>G45/12</f>
        <v>22336.333333333332</v>
      </c>
      <c r="G45" s="30">
        <f>G119</f>
        <v>268036</v>
      </c>
      <c r="H45" s="43">
        <v>269660</v>
      </c>
    </row>
    <row r="46" spans="1:8" s="43" customFormat="1" x14ac:dyDescent="0.2">
      <c r="A46" s="74"/>
      <c r="B46" s="41" t="s">
        <v>48</v>
      </c>
      <c r="C46" s="51" t="s">
        <v>50</v>
      </c>
      <c r="D46" s="32"/>
      <c r="E46" s="32"/>
      <c r="F46" s="30">
        <f>G46/12</f>
        <v>31482.166666666668</v>
      </c>
      <c r="G46" s="30">
        <f>G120</f>
        <v>377786</v>
      </c>
      <c r="H46" s="43">
        <v>360014</v>
      </c>
    </row>
    <row r="47" spans="1:8" s="43" customFormat="1" x14ac:dyDescent="0.2">
      <c r="A47" s="74" t="s">
        <v>34</v>
      </c>
      <c r="B47" s="41" t="s">
        <v>52</v>
      </c>
      <c r="C47" s="51"/>
      <c r="D47" s="32"/>
      <c r="E47" s="32"/>
      <c r="F47" s="42">
        <f>F48+F49</f>
        <v>102373.08333333333</v>
      </c>
      <c r="G47" s="30">
        <f>G48+G49</f>
        <v>1228477</v>
      </c>
      <c r="H47" s="30">
        <f>H48+H49</f>
        <v>1446192</v>
      </c>
    </row>
    <row r="48" spans="1:8" s="43" customFormat="1" x14ac:dyDescent="0.2">
      <c r="A48" s="74"/>
      <c r="B48" s="41" t="s">
        <v>51</v>
      </c>
      <c r="C48" s="51" t="s">
        <v>50</v>
      </c>
      <c r="D48" s="32"/>
      <c r="E48" s="32"/>
      <c r="F48" s="30">
        <f>G48/12</f>
        <v>13332.333333333334</v>
      </c>
      <c r="G48" s="30">
        <f>G122</f>
        <v>159988</v>
      </c>
      <c r="H48" s="43">
        <v>162130</v>
      </c>
    </row>
    <row r="49" spans="1:10" s="43" customFormat="1" x14ac:dyDescent="0.2">
      <c r="A49" s="74"/>
      <c r="B49" s="41" t="s">
        <v>52</v>
      </c>
      <c r="C49" s="51" t="s">
        <v>50</v>
      </c>
      <c r="D49" s="32"/>
      <c r="E49" s="32"/>
      <c r="F49" s="30">
        <f>F121</f>
        <v>89040.75</v>
      </c>
      <c r="G49" s="30">
        <f>G121</f>
        <v>1068489</v>
      </c>
      <c r="H49" s="43">
        <v>1284062</v>
      </c>
    </row>
    <row r="50" spans="1:10" s="43" customFormat="1" x14ac:dyDescent="0.2">
      <c r="A50" s="74" t="s">
        <v>36</v>
      </c>
      <c r="B50" s="41" t="s">
        <v>53</v>
      </c>
      <c r="C50" s="51" t="s">
        <v>54</v>
      </c>
      <c r="D50" s="32"/>
      <c r="E50" s="53">
        <v>11.02</v>
      </c>
      <c r="F50" s="30">
        <f>G50/12</f>
        <v>130248.33333333333</v>
      </c>
      <c r="G50" s="30">
        <f>G123</f>
        <v>1562980</v>
      </c>
      <c r="H50" s="43">
        <v>1531346</v>
      </c>
      <c r="I50" s="43" t="s">
        <v>197</v>
      </c>
    </row>
    <row r="51" spans="1:10" x14ac:dyDescent="0.2">
      <c r="A51" s="74" t="s">
        <v>38</v>
      </c>
      <c r="B51" s="41" t="s">
        <v>55</v>
      </c>
      <c r="C51" s="51" t="s">
        <v>56</v>
      </c>
      <c r="D51" s="51"/>
      <c r="E51" s="54">
        <v>2.6</v>
      </c>
      <c r="F51" s="30">
        <v>29322.338270763412</v>
      </c>
      <c r="G51" s="30">
        <v>283742</v>
      </c>
      <c r="H51" s="131">
        <v>279155</v>
      </c>
    </row>
    <row r="52" spans="1:10" ht="30" x14ac:dyDescent="0.2">
      <c r="A52" s="74" t="s">
        <v>40</v>
      </c>
      <c r="B52" s="41" t="s">
        <v>123</v>
      </c>
      <c r="C52" s="51" t="s">
        <v>65</v>
      </c>
      <c r="D52" s="37"/>
      <c r="E52" s="37" t="s">
        <v>135</v>
      </c>
      <c r="F52" s="30">
        <f t="shared" ref="F52:F57" si="3">G52/12</f>
        <v>833.33333333333337</v>
      </c>
      <c r="G52" s="30">
        <v>10000</v>
      </c>
      <c r="H52" s="131">
        <v>10000</v>
      </c>
      <c r="I52">
        <v>31800</v>
      </c>
      <c r="J52" t="s">
        <v>191</v>
      </c>
    </row>
    <row r="53" spans="1:10" x14ac:dyDescent="0.2">
      <c r="A53" s="74" t="s">
        <v>42</v>
      </c>
      <c r="B53" s="41" t="s">
        <v>58</v>
      </c>
      <c r="C53" s="51" t="s">
        <v>65</v>
      </c>
      <c r="D53" s="51">
        <v>1</v>
      </c>
      <c r="E53" s="51">
        <v>50</v>
      </c>
      <c r="F53" s="30">
        <f t="shared" si="3"/>
        <v>0</v>
      </c>
      <c r="G53" s="30">
        <v>0</v>
      </c>
    </row>
    <row r="54" spans="1:10" x14ac:dyDescent="0.2">
      <c r="A54" s="74" t="s">
        <v>57</v>
      </c>
      <c r="B54" s="41" t="s">
        <v>61</v>
      </c>
      <c r="C54" s="51" t="s">
        <v>65</v>
      </c>
      <c r="D54" s="51">
        <v>1</v>
      </c>
      <c r="E54" s="51">
        <v>50</v>
      </c>
      <c r="F54" s="30">
        <f t="shared" si="3"/>
        <v>125</v>
      </c>
      <c r="G54" s="30">
        <v>1500</v>
      </c>
      <c r="H54" s="131">
        <v>650</v>
      </c>
    </row>
    <row r="55" spans="1:10" ht="30" customHeight="1" x14ac:dyDescent="0.2">
      <c r="A55" s="74" t="s">
        <v>59</v>
      </c>
      <c r="B55" s="41" t="s">
        <v>124</v>
      </c>
      <c r="C55" s="51" t="s">
        <v>65</v>
      </c>
      <c r="D55" s="51">
        <v>5.99</v>
      </c>
      <c r="E55" s="32"/>
      <c r="F55" s="30">
        <f t="shared" si="3"/>
        <v>835.66666666666663</v>
      </c>
      <c r="G55" s="30">
        <v>10028</v>
      </c>
      <c r="H55" s="131">
        <v>4438.34</v>
      </c>
    </row>
    <row r="56" spans="1:10" ht="30" customHeight="1" x14ac:dyDescent="0.2">
      <c r="A56" s="74"/>
      <c r="B56" s="41" t="s">
        <v>146</v>
      </c>
      <c r="C56" s="51" t="s">
        <v>65</v>
      </c>
      <c r="D56" s="51"/>
      <c r="E56" s="32"/>
      <c r="F56" s="30">
        <f t="shared" si="3"/>
        <v>2446.5833333333335</v>
      </c>
      <c r="G56" s="30">
        <v>29359</v>
      </c>
      <c r="H56" s="131">
        <v>32165.94</v>
      </c>
    </row>
    <row r="57" spans="1:10" ht="30" x14ac:dyDescent="0.2">
      <c r="A57" s="74" t="s">
        <v>60</v>
      </c>
      <c r="B57" s="41" t="s">
        <v>147</v>
      </c>
      <c r="C57" s="51" t="s">
        <v>63</v>
      </c>
      <c r="D57" s="37">
        <v>3</v>
      </c>
      <c r="E57" s="37"/>
      <c r="F57" s="30">
        <f t="shared" si="3"/>
        <v>4950</v>
      </c>
      <c r="G57" s="30">
        <v>59400</v>
      </c>
      <c r="H57">
        <v>59400</v>
      </c>
    </row>
    <row r="58" spans="1:10" ht="23.25" customHeight="1" x14ac:dyDescent="0.2">
      <c r="A58" s="163" t="s">
        <v>64</v>
      </c>
      <c r="B58" s="163"/>
      <c r="C58" s="163"/>
      <c r="D58" s="163"/>
      <c r="E58" s="163"/>
      <c r="F58" s="35">
        <f>F59+F94+F96+F111+F112+F113+F114+F115+F117+F118+F119+F120+F121+F122+F123</f>
        <v>847318.08827076352</v>
      </c>
      <c r="G58" s="35">
        <f>G59+G94+G96+G111+G112+G113+G114+G115+G117+G118+G119+G120+G121+G122+G123</f>
        <v>10329856.569273036</v>
      </c>
      <c r="H58" s="35">
        <f>H59+H94+H96+H111+H112+H113+H114+H115+H117+H118+H119+H120+H121+H122+H123</f>
        <v>11009929.039999999</v>
      </c>
    </row>
    <row r="59" spans="1:10" ht="14.25" x14ac:dyDescent="0.2">
      <c r="A59" s="74">
        <v>1</v>
      </c>
      <c r="B59" s="75" t="s">
        <v>45</v>
      </c>
      <c r="C59" s="55" t="s">
        <v>65</v>
      </c>
      <c r="D59" s="73"/>
      <c r="E59" s="49"/>
      <c r="F59" s="39">
        <v>262630</v>
      </c>
      <c r="G59" s="39">
        <f>G60+G61+G69+G72+G73+G77+G86+G89</f>
        <v>3402725.569273035</v>
      </c>
      <c r="H59" s="39">
        <f>H60+H61+H69+H72+H73+H77+H86+H89</f>
        <v>3453609.4</v>
      </c>
    </row>
    <row r="60" spans="1:10" x14ac:dyDescent="0.2">
      <c r="A60" s="74" t="s">
        <v>66</v>
      </c>
      <c r="B60" s="52" t="s">
        <v>188</v>
      </c>
      <c r="C60" s="30" t="s">
        <v>63</v>
      </c>
      <c r="D60" s="37"/>
      <c r="E60" s="32"/>
      <c r="F60" s="37">
        <f>G60/12</f>
        <v>9636.0833333333339</v>
      </c>
      <c r="G60" s="39">
        <v>115633</v>
      </c>
      <c r="H60">
        <v>119741</v>
      </c>
    </row>
    <row r="61" spans="1:10" ht="14.25" x14ac:dyDescent="0.2">
      <c r="A61" s="74" t="s">
        <v>67</v>
      </c>
      <c r="B61" s="75" t="s">
        <v>68</v>
      </c>
      <c r="C61" s="35"/>
      <c r="D61" s="39"/>
      <c r="E61" s="49"/>
      <c r="F61" s="39">
        <f>F62+F63+F64+F65+F66+F67+F68</f>
        <v>7559.166666666667</v>
      </c>
      <c r="G61" s="39">
        <f>G62+G63+G64+G65+G66+G67+G68</f>
        <v>90710</v>
      </c>
      <c r="H61" s="39">
        <f>SUM(H62:H68)</f>
        <v>112317.5</v>
      </c>
    </row>
    <row r="62" spans="1:10" x14ac:dyDescent="0.2">
      <c r="A62" s="56"/>
      <c r="B62" s="52" t="s">
        <v>69</v>
      </c>
      <c r="C62" s="30" t="s">
        <v>63</v>
      </c>
      <c r="D62" s="37"/>
      <c r="E62" s="32"/>
      <c r="F62" s="37">
        <f>G62/12</f>
        <v>1333.3333333333333</v>
      </c>
      <c r="G62" s="37">
        <v>16000</v>
      </c>
      <c r="H62">
        <v>21921</v>
      </c>
      <c r="I62" t="s">
        <v>194</v>
      </c>
    </row>
    <row r="63" spans="1:10" x14ac:dyDescent="0.2">
      <c r="A63" s="56"/>
      <c r="B63" s="52" t="s">
        <v>70</v>
      </c>
      <c r="C63" s="30" t="s">
        <v>63</v>
      </c>
      <c r="D63" s="37"/>
      <c r="E63" s="37"/>
      <c r="F63" s="37">
        <f t="shared" ref="F63:F68" si="4">G63/12</f>
        <v>533.33333333333337</v>
      </c>
      <c r="G63" s="37">
        <v>6400</v>
      </c>
      <c r="H63">
        <v>6087</v>
      </c>
    </row>
    <row r="64" spans="1:10" x14ac:dyDescent="0.2">
      <c r="A64" s="56"/>
      <c r="B64" s="52" t="s">
        <v>71</v>
      </c>
      <c r="C64" s="30" t="s">
        <v>63</v>
      </c>
      <c r="D64" s="37"/>
      <c r="E64" s="37"/>
      <c r="F64" s="37">
        <f t="shared" si="4"/>
        <v>333.33333333333331</v>
      </c>
      <c r="G64" s="37">
        <v>4000</v>
      </c>
      <c r="H64">
        <v>11402</v>
      </c>
      <c r="I64" t="s">
        <v>195</v>
      </c>
    </row>
    <row r="65" spans="1:9" x14ac:dyDescent="0.2">
      <c r="A65" s="56"/>
      <c r="B65" s="52" t="s">
        <v>72</v>
      </c>
      <c r="C65" s="30" t="s">
        <v>63</v>
      </c>
      <c r="D65" s="37"/>
      <c r="E65" s="37"/>
      <c r="F65" s="37">
        <f t="shared" si="4"/>
        <v>2163.3333333333335</v>
      </c>
      <c r="G65" s="37">
        <v>25960</v>
      </c>
      <c r="H65">
        <v>25960</v>
      </c>
    </row>
    <row r="66" spans="1:9" ht="19.5" customHeight="1" x14ac:dyDescent="0.2">
      <c r="A66" s="56"/>
      <c r="B66" s="52" t="s">
        <v>137</v>
      </c>
      <c r="C66" s="30" t="s">
        <v>65</v>
      </c>
      <c r="D66" s="37">
        <v>2</v>
      </c>
      <c r="E66" s="32"/>
      <c r="F66" s="37">
        <v>800</v>
      </c>
      <c r="G66" s="37">
        <v>9600</v>
      </c>
      <c r="H66" s="130">
        <v>12138.5</v>
      </c>
    </row>
    <row r="67" spans="1:9" x14ac:dyDescent="0.2">
      <c r="A67" s="56"/>
      <c r="B67" s="52" t="s">
        <v>73</v>
      </c>
      <c r="C67" s="30" t="s">
        <v>63</v>
      </c>
      <c r="D67" s="37"/>
      <c r="E67" s="37"/>
      <c r="F67" s="37">
        <f t="shared" si="4"/>
        <v>787.5</v>
      </c>
      <c r="G67" s="37">
        <v>9450</v>
      </c>
      <c r="H67">
        <v>9996</v>
      </c>
    </row>
    <row r="68" spans="1:9" x14ac:dyDescent="0.2">
      <c r="A68" s="56"/>
      <c r="B68" s="52" t="s">
        <v>132</v>
      </c>
      <c r="C68" s="30" t="s">
        <v>65</v>
      </c>
      <c r="D68" s="37"/>
      <c r="E68" s="37"/>
      <c r="F68" s="37">
        <f t="shared" si="4"/>
        <v>1608.3333333333333</v>
      </c>
      <c r="G68" s="37">
        <v>19300</v>
      </c>
      <c r="H68">
        <v>24813</v>
      </c>
    </row>
    <row r="69" spans="1:9" x14ac:dyDescent="0.2">
      <c r="A69" s="74" t="s">
        <v>74</v>
      </c>
      <c r="B69" s="75" t="s">
        <v>75</v>
      </c>
      <c r="C69" s="35"/>
      <c r="D69" s="39"/>
      <c r="E69" s="37"/>
      <c r="F69" s="39">
        <f>F70+F71</f>
        <v>1155.5999999999999</v>
      </c>
      <c r="G69" s="39">
        <f>G70+G71</f>
        <v>13867.2</v>
      </c>
      <c r="H69" s="39">
        <f>H70+H71</f>
        <v>13421</v>
      </c>
    </row>
    <row r="70" spans="1:9" x14ac:dyDescent="0.2">
      <c r="A70" s="56"/>
      <c r="B70" s="52" t="s">
        <v>76</v>
      </c>
      <c r="C70" s="30" t="s">
        <v>77</v>
      </c>
      <c r="D70" s="37"/>
      <c r="E70" s="37"/>
      <c r="F70" s="37">
        <f>315.6</f>
        <v>315.60000000000002</v>
      </c>
      <c r="G70" s="37">
        <f>F70*12</f>
        <v>3787.2000000000003</v>
      </c>
      <c r="H70">
        <v>3949</v>
      </c>
    </row>
    <row r="71" spans="1:9" x14ac:dyDescent="0.2">
      <c r="A71" s="56"/>
      <c r="B71" s="52" t="s">
        <v>78</v>
      </c>
      <c r="C71" s="30" t="s">
        <v>77</v>
      </c>
      <c r="D71" s="37"/>
      <c r="E71" s="37"/>
      <c r="F71" s="37">
        <f>440+300+100</f>
        <v>840</v>
      </c>
      <c r="G71" s="37">
        <f>F71*12</f>
        <v>10080</v>
      </c>
      <c r="H71">
        <v>9472</v>
      </c>
    </row>
    <row r="72" spans="1:9" x14ac:dyDescent="0.2">
      <c r="A72" s="74" t="s">
        <v>79</v>
      </c>
      <c r="B72" s="75" t="s">
        <v>80</v>
      </c>
      <c r="C72" s="35" t="s">
        <v>77</v>
      </c>
      <c r="D72" s="39"/>
      <c r="E72" s="37"/>
      <c r="F72" s="39">
        <f t="shared" ref="F72:F76" si="5">G72/12</f>
        <v>2255</v>
      </c>
      <c r="G72" s="39">
        <v>27060</v>
      </c>
      <c r="H72">
        <v>27231</v>
      </c>
    </row>
    <row r="73" spans="1:9" x14ac:dyDescent="0.2">
      <c r="A73" s="74" t="s">
        <v>81</v>
      </c>
      <c r="B73" s="75" t="s">
        <v>82</v>
      </c>
      <c r="C73" s="35"/>
      <c r="D73" s="39"/>
      <c r="E73" s="37"/>
      <c r="F73" s="39">
        <f>F74+F75+F76</f>
        <v>995.83333333333337</v>
      </c>
      <c r="G73" s="39">
        <f>G74+G75+G76</f>
        <v>11950</v>
      </c>
      <c r="H73" s="39">
        <f>H74+H75+H76</f>
        <v>16541.64</v>
      </c>
    </row>
    <row r="74" spans="1:9" x14ac:dyDescent="0.2">
      <c r="A74" s="56"/>
      <c r="B74" s="52" t="s">
        <v>83</v>
      </c>
      <c r="C74" s="30" t="s">
        <v>63</v>
      </c>
      <c r="D74" s="37"/>
      <c r="E74" s="37"/>
      <c r="F74" s="37">
        <f>G74/12</f>
        <v>970.83333333333337</v>
      </c>
      <c r="G74" s="37">
        <v>11650</v>
      </c>
      <c r="H74">
        <v>16541.64</v>
      </c>
    </row>
    <row r="75" spans="1:9" x14ac:dyDescent="0.2">
      <c r="A75" s="56"/>
      <c r="B75" s="52" t="s">
        <v>84</v>
      </c>
      <c r="C75" s="30" t="s">
        <v>63</v>
      </c>
      <c r="D75" s="37"/>
      <c r="E75" s="37"/>
      <c r="F75" s="37">
        <f>G75/12</f>
        <v>25</v>
      </c>
      <c r="G75" s="37">
        <v>300</v>
      </c>
    </row>
    <row r="76" spans="1:9" x14ac:dyDescent="0.2">
      <c r="A76" s="56"/>
      <c r="B76" s="52" t="s">
        <v>85</v>
      </c>
      <c r="C76" s="30" t="s">
        <v>63</v>
      </c>
      <c r="D76" s="37"/>
      <c r="E76" s="37"/>
      <c r="F76" s="37">
        <f t="shared" si="5"/>
        <v>0</v>
      </c>
      <c r="G76" s="37">
        <v>0</v>
      </c>
    </row>
    <row r="77" spans="1:9" x14ac:dyDescent="0.2">
      <c r="A77" s="74" t="s">
        <v>86</v>
      </c>
      <c r="B77" s="75" t="s">
        <v>87</v>
      </c>
      <c r="C77" s="35"/>
      <c r="D77" s="39"/>
      <c r="E77" s="37"/>
      <c r="F77" s="39">
        <f>F78+F79+F80+F81+F82+F83+F84+F85</f>
        <v>11120.833333333334</v>
      </c>
      <c r="G77" s="39">
        <f>G78+G79+G80+G81+G82+G83+G84+G85</f>
        <v>133450</v>
      </c>
      <c r="H77" s="39">
        <f>SUM(H78:H85)</f>
        <v>207149</v>
      </c>
    </row>
    <row r="78" spans="1:9" ht="30" customHeight="1" x14ac:dyDescent="0.2">
      <c r="A78" s="56"/>
      <c r="B78" s="52" t="s">
        <v>129</v>
      </c>
      <c r="C78" s="30" t="s">
        <v>9</v>
      </c>
      <c r="D78" s="37"/>
      <c r="E78" s="37"/>
      <c r="F78" s="37">
        <f>G78/12</f>
        <v>1750</v>
      </c>
      <c r="G78" s="37">
        <v>21000</v>
      </c>
      <c r="H78">
        <f>84281-31800</f>
        <v>52481</v>
      </c>
      <c r="I78" t="s">
        <v>193</v>
      </c>
    </row>
    <row r="79" spans="1:9" x14ac:dyDescent="0.2">
      <c r="A79" s="56"/>
      <c r="B79" s="52" t="s">
        <v>130</v>
      </c>
      <c r="C79" s="30" t="s">
        <v>9</v>
      </c>
      <c r="D79" s="37" t="s">
        <v>126</v>
      </c>
      <c r="E79" s="37"/>
      <c r="F79" s="37">
        <f>G79/12</f>
        <v>2041.6666666666667</v>
      </c>
      <c r="G79" s="37">
        <v>24500</v>
      </c>
      <c r="H79">
        <v>62992</v>
      </c>
      <c r="I79" t="s">
        <v>190</v>
      </c>
    </row>
    <row r="80" spans="1:9" ht="21" customHeight="1" x14ac:dyDescent="0.2">
      <c r="A80" s="56"/>
      <c r="B80" s="52" t="s">
        <v>88</v>
      </c>
      <c r="C80" s="30" t="s">
        <v>9</v>
      </c>
      <c r="D80" s="37"/>
      <c r="E80" s="37"/>
      <c r="F80" s="37">
        <f t="shared" ref="F80:F88" si="6">G80/12</f>
        <v>666.66666666666663</v>
      </c>
      <c r="G80" s="37">
        <v>8000</v>
      </c>
      <c r="H80">
        <v>5460</v>
      </c>
    </row>
    <row r="81" spans="1:9" ht="26.25" customHeight="1" x14ac:dyDescent="0.2">
      <c r="A81" s="56"/>
      <c r="B81" s="52" t="s">
        <v>89</v>
      </c>
      <c r="C81" s="30" t="s">
        <v>63</v>
      </c>
      <c r="D81" s="37"/>
      <c r="E81" s="37"/>
      <c r="F81" s="37">
        <f t="shared" si="6"/>
        <v>337.5</v>
      </c>
      <c r="G81" s="37">
        <v>4050</v>
      </c>
      <c r="H81">
        <v>4023</v>
      </c>
    </row>
    <row r="82" spans="1:9" x14ac:dyDescent="0.2">
      <c r="A82" s="56"/>
      <c r="B82" s="52" t="s">
        <v>90</v>
      </c>
      <c r="C82" s="30" t="s">
        <v>63</v>
      </c>
      <c r="D82" s="37"/>
      <c r="E82" s="37"/>
      <c r="F82" s="37">
        <f t="shared" si="6"/>
        <v>1041.6666666666667</v>
      </c>
      <c r="G82" s="37">
        <v>12500</v>
      </c>
      <c r="H82">
        <v>11840</v>
      </c>
    </row>
    <row r="83" spans="1:9" x14ac:dyDescent="0.2">
      <c r="A83" s="56"/>
      <c r="B83" s="52" t="s">
        <v>91</v>
      </c>
      <c r="C83" s="30"/>
      <c r="D83" s="37"/>
      <c r="E83" s="37"/>
      <c r="F83" s="37">
        <f>G83/12</f>
        <v>350</v>
      </c>
      <c r="G83" s="37">
        <v>4200</v>
      </c>
      <c r="H83">
        <v>3614</v>
      </c>
    </row>
    <row r="84" spans="1:9" x14ac:dyDescent="0.2">
      <c r="A84" s="56"/>
      <c r="B84" s="52" t="s">
        <v>138</v>
      </c>
      <c r="C84" s="30"/>
      <c r="D84" s="37"/>
      <c r="E84" s="37"/>
      <c r="F84" s="37">
        <f>G84/12</f>
        <v>833.33333333333337</v>
      </c>
      <c r="G84" s="37">
        <v>10000</v>
      </c>
      <c r="H84">
        <v>5172</v>
      </c>
    </row>
    <row r="85" spans="1:9" x14ac:dyDescent="0.2">
      <c r="A85" s="56"/>
      <c r="B85" s="52" t="s">
        <v>117</v>
      </c>
      <c r="C85" s="30"/>
      <c r="D85" s="37"/>
      <c r="E85" s="37"/>
      <c r="F85" s="37">
        <f>G85/12</f>
        <v>4100</v>
      </c>
      <c r="G85" s="37">
        <v>49200</v>
      </c>
      <c r="H85">
        <v>61567</v>
      </c>
      <c r="I85" t="s">
        <v>192</v>
      </c>
    </row>
    <row r="86" spans="1:9" x14ac:dyDescent="0.2">
      <c r="A86" s="74" t="s">
        <v>92</v>
      </c>
      <c r="B86" s="75" t="s">
        <v>93</v>
      </c>
      <c r="C86" s="35"/>
      <c r="D86" s="39"/>
      <c r="E86" s="32"/>
      <c r="F86" s="46">
        <f>F87+F88</f>
        <v>20000</v>
      </c>
      <c r="G86" s="46">
        <f>G87+G88</f>
        <v>240000</v>
      </c>
      <c r="H86">
        <v>240924</v>
      </c>
    </row>
    <row r="87" spans="1:9" x14ac:dyDescent="0.2">
      <c r="A87" s="56" t="s">
        <v>94</v>
      </c>
      <c r="B87" s="52" t="s">
        <v>95</v>
      </c>
      <c r="C87" s="30" t="s">
        <v>63</v>
      </c>
      <c r="D87" s="39"/>
      <c r="E87" s="32"/>
      <c r="F87" s="37">
        <f t="shared" si="6"/>
        <v>20000</v>
      </c>
      <c r="G87" s="37">
        <v>240000</v>
      </c>
      <c r="H87">
        <v>240924</v>
      </c>
    </row>
    <row r="88" spans="1:9" x14ac:dyDescent="0.2">
      <c r="A88" s="56" t="s">
        <v>96</v>
      </c>
      <c r="B88" s="52" t="s">
        <v>97</v>
      </c>
      <c r="C88" s="30" t="s">
        <v>63</v>
      </c>
      <c r="D88" s="39"/>
      <c r="E88" s="32"/>
      <c r="F88" s="37">
        <f t="shared" si="6"/>
        <v>0</v>
      </c>
      <c r="G88" s="37">
        <v>0</v>
      </c>
    </row>
    <row r="89" spans="1:9" x14ac:dyDescent="0.2">
      <c r="A89" s="74" t="s">
        <v>98</v>
      </c>
      <c r="B89" s="75" t="s">
        <v>99</v>
      </c>
      <c r="C89" s="35"/>
      <c r="D89" s="39"/>
      <c r="E89" s="32"/>
      <c r="F89" s="39">
        <f>F90+F91+F92+F93</f>
        <v>230837.9474394196</v>
      </c>
      <c r="G89" s="39">
        <f>G90+G91+G92+G93</f>
        <v>2770055.3692730353</v>
      </c>
      <c r="H89">
        <f>SUM(H90:H93)</f>
        <v>2716284.26</v>
      </c>
      <c r="I89" s="3">
        <f>SUM(G89-H89)</f>
        <v>53771.109273035545</v>
      </c>
    </row>
    <row r="90" spans="1:9" ht="30" x14ac:dyDescent="0.2">
      <c r="A90" s="57" t="s">
        <v>100</v>
      </c>
      <c r="B90" s="52" t="s">
        <v>101</v>
      </c>
      <c r="C90" s="30"/>
      <c r="D90" s="37"/>
      <c r="E90" s="32"/>
      <c r="F90" s="37">
        <f>G90/12</f>
        <v>158068.70688666668</v>
      </c>
      <c r="G90" s="37">
        <v>1896824.4826400001</v>
      </c>
      <c r="H90">
        <v>1866581</v>
      </c>
    </row>
    <row r="91" spans="1:9" x14ac:dyDescent="0.2">
      <c r="A91" s="57" t="s">
        <v>102</v>
      </c>
      <c r="B91" s="52" t="s">
        <v>127</v>
      </c>
      <c r="C91" s="58"/>
      <c r="D91" s="59">
        <v>0.30199999999999999</v>
      </c>
      <c r="E91" s="32"/>
      <c r="F91" s="37">
        <f>(F92+F93+F90)/100*30.2</f>
        <v>53543.056932952939</v>
      </c>
      <c r="G91" s="37">
        <f>F91*12</f>
        <v>642516.68319543521</v>
      </c>
      <c r="H91">
        <v>622197</v>
      </c>
    </row>
    <row r="92" spans="1:9" x14ac:dyDescent="0.2">
      <c r="A92" s="57" t="s">
        <v>103</v>
      </c>
      <c r="B92" s="52" t="s">
        <v>128</v>
      </c>
      <c r="C92" s="30"/>
      <c r="D92" s="37"/>
      <c r="E92" s="32"/>
      <c r="F92" s="37">
        <f>F90/100*9</f>
        <v>14226.183619800002</v>
      </c>
      <c r="G92" s="37">
        <f>F92*12</f>
        <v>170714.20343760002</v>
      </c>
      <c r="H92">
        <v>159240.76</v>
      </c>
    </row>
    <row r="93" spans="1:9" x14ac:dyDescent="0.2">
      <c r="A93" s="57" t="s">
        <v>104</v>
      </c>
      <c r="B93" s="52" t="s">
        <v>105</v>
      </c>
      <c r="C93" s="30"/>
      <c r="D93" s="37"/>
      <c r="E93" s="32"/>
      <c r="F93" s="37">
        <f>G93/12</f>
        <v>5000</v>
      </c>
      <c r="G93" s="37">
        <v>60000</v>
      </c>
      <c r="H93">
        <v>68265.5</v>
      </c>
    </row>
    <row r="94" spans="1:9" x14ac:dyDescent="0.2">
      <c r="A94" s="74" t="s">
        <v>19</v>
      </c>
      <c r="B94" s="75" t="s">
        <v>107</v>
      </c>
      <c r="C94" s="35"/>
      <c r="D94" s="39"/>
      <c r="E94" s="32"/>
      <c r="F94" s="37">
        <v>0</v>
      </c>
      <c r="G94" s="37">
        <f>G95</f>
        <v>0</v>
      </c>
    </row>
    <row r="95" spans="1:9" x14ac:dyDescent="0.2">
      <c r="A95" s="74"/>
      <c r="B95" s="52" t="s">
        <v>139</v>
      </c>
      <c r="C95" s="35"/>
      <c r="D95" s="39"/>
      <c r="E95" s="32"/>
      <c r="F95" s="37">
        <v>0</v>
      </c>
      <c r="G95" s="37">
        <v>0</v>
      </c>
    </row>
    <row r="96" spans="1:9" x14ac:dyDescent="0.2">
      <c r="A96" s="74" t="s">
        <v>20</v>
      </c>
      <c r="B96" s="75" t="s">
        <v>22</v>
      </c>
      <c r="C96" s="35"/>
      <c r="D96" s="39"/>
      <c r="E96" s="32"/>
      <c r="F96" s="39">
        <f>F97+F98+F99+F100+F101+F102+F103+F104+F105+F106+F107+F108+F109+F110</f>
        <v>23724.166666666664</v>
      </c>
      <c r="G96" s="39">
        <f>G97+G98+G99+G100+G101+G102+G103+G104+G105+G106+G107+G108+G109+G110</f>
        <v>263690</v>
      </c>
      <c r="H96" s="39">
        <f>SUM(H97:H110)</f>
        <v>302159</v>
      </c>
    </row>
    <row r="97" spans="1:11" x14ac:dyDescent="0.2">
      <c r="A97" s="74"/>
      <c r="B97" s="60" t="s">
        <v>108</v>
      </c>
      <c r="C97" s="30" t="s">
        <v>113</v>
      </c>
      <c r="D97" s="37">
        <v>7</v>
      </c>
      <c r="E97" s="37">
        <v>5000</v>
      </c>
      <c r="F97" s="36">
        <f>G97/12</f>
        <v>2916.6666666666665</v>
      </c>
      <c r="G97" s="37">
        <f>D97*E97</f>
        <v>35000</v>
      </c>
      <c r="H97">
        <v>35000</v>
      </c>
    </row>
    <row r="98" spans="1:11" x14ac:dyDescent="0.2">
      <c r="A98" s="74"/>
      <c r="B98" s="60" t="s">
        <v>109</v>
      </c>
      <c r="C98" s="30" t="s">
        <v>113</v>
      </c>
      <c r="D98" s="37">
        <v>3</v>
      </c>
      <c r="E98" s="37">
        <v>3000</v>
      </c>
      <c r="F98" s="36">
        <f>G98/12</f>
        <v>750</v>
      </c>
      <c r="G98" s="37">
        <f t="shared" ref="G98:G99" si="7">D98*E98</f>
        <v>9000</v>
      </c>
      <c r="H98">
        <v>9000</v>
      </c>
    </row>
    <row r="99" spans="1:11" x14ac:dyDescent="0.2">
      <c r="A99" s="74"/>
      <c r="B99" s="60" t="s">
        <v>112</v>
      </c>
      <c r="C99" s="30" t="s">
        <v>113</v>
      </c>
      <c r="D99" s="37">
        <v>3</v>
      </c>
      <c r="E99" s="37">
        <v>3000</v>
      </c>
      <c r="F99" s="36">
        <f t="shared" ref="F99:F110" si="8">G99/12</f>
        <v>750</v>
      </c>
      <c r="G99" s="37">
        <f t="shared" si="7"/>
        <v>9000</v>
      </c>
      <c r="H99">
        <v>9000</v>
      </c>
    </row>
    <row r="100" spans="1:11" x14ac:dyDescent="0.2">
      <c r="A100" s="128"/>
      <c r="B100" s="60" t="s">
        <v>189</v>
      </c>
      <c r="C100" s="30"/>
      <c r="D100" s="37">
        <v>5</v>
      </c>
      <c r="E100" s="37">
        <v>3000</v>
      </c>
      <c r="F100" s="36">
        <v>3000</v>
      </c>
      <c r="G100" s="37">
        <f>F100*5</f>
        <v>15000</v>
      </c>
      <c r="H100" s="130">
        <v>15000</v>
      </c>
    </row>
    <row r="101" spans="1:11" ht="30" x14ac:dyDescent="0.2">
      <c r="A101" s="74"/>
      <c r="B101" s="52" t="s">
        <v>134</v>
      </c>
      <c r="C101" s="30" t="s">
        <v>113</v>
      </c>
      <c r="D101" s="37">
        <v>3</v>
      </c>
      <c r="E101" s="32"/>
      <c r="F101" s="36">
        <f t="shared" si="8"/>
        <v>750</v>
      </c>
      <c r="G101" s="37">
        <v>9000</v>
      </c>
      <c r="H101">
        <v>8400</v>
      </c>
    </row>
    <row r="102" spans="1:11" x14ac:dyDescent="0.2">
      <c r="A102" s="74"/>
      <c r="B102" s="52" t="s">
        <v>133</v>
      </c>
      <c r="C102" s="30" t="s">
        <v>9</v>
      </c>
      <c r="D102" s="37">
        <v>1</v>
      </c>
      <c r="E102" s="37"/>
      <c r="F102" s="36">
        <f t="shared" si="8"/>
        <v>125</v>
      </c>
      <c r="G102" s="37">
        <v>1500</v>
      </c>
      <c r="H102">
        <v>1500</v>
      </c>
    </row>
    <row r="103" spans="1:11" x14ac:dyDescent="0.2">
      <c r="A103" s="56"/>
      <c r="B103" s="52" t="s">
        <v>110</v>
      </c>
      <c r="C103" s="30" t="s">
        <v>9</v>
      </c>
      <c r="D103" s="37">
        <v>5</v>
      </c>
      <c r="E103" s="37"/>
      <c r="F103" s="36">
        <f t="shared" si="8"/>
        <v>925</v>
      </c>
      <c r="G103" s="37">
        <v>11100</v>
      </c>
      <c r="H103">
        <v>11100</v>
      </c>
    </row>
    <row r="104" spans="1:11" x14ac:dyDescent="0.2">
      <c r="A104" s="56"/>
      <c r="B104" s="60" t="s">
        <v>111</v>
      </c>
      <c r="C104" s="30" t="s">
        <v>63</v>
      </c>
      <c r="D104" s="37">
        <v>1</v>
      </c>
      <c r="E104" s="37"/>
      <c r="F104" s="36">
        <f t="shared" si="8"/>
        <v>482.5</v>
      </c>
      <c r="G104" s="37">
        <v>5790</v>
      </c>
      <c r="H104">
        <v>5800</v>
      </c>
    </row>
    <row r="105" spans="1:11" x14ac:dyDescent="0.2">
      <c r="A105" s="56"/>
      <c r="B105" s="52" t="s">
        <v>114</v>
      </c>
      <c r="C105" s="30" t="s">
        <v>115</v>
      </c>
      <c r="D105" s="37">
        <v>1</v>
      </c>
      <c r="E105" s="37"/>
      <c r="F105" s="36">
        <f t="shared" si="8"/>
        <v>1375</v>
      </c>
      <c r="G105" s="25">
        <v>16500</v>
      </c>
      <c r="H105">
        <v>10000</v>
      </c>
    </row>
    <row r="106" spans="1:11" x14ac:dyDescent="0.2">
      <c r="A106" s="56"/>
      <c r="B106" s="52" t="s">
        <v>140</v>
      </c>
      <c r="C106" s="30" t="s">
        <v>63</v>
      </c>
      <c r="D106" s="37">
        <v>12</v>
      </c>
      <c r="E106" s="32"/>
      <c r="F106" s="36">
        <f t="shared" si="8"/>
        <v>566.66666666666663</v>
      </c>
      <c r="G106" s="37">
        <v>6800</v>
      </c>
      <c r="H106">
        <v>0</v>
      </c>
    </row>
    <row r="107" spans="1:11" x14ac:dyDescent="0.2">
      <c r="A107" s="56"/>
      <c r="B107" s="52" t="s">
        <v>116</v>
      </c>
      <c r="C107" s="30" t="s">
        <v>63</v>
      </c>
      <c r="D107" s="37"/>
      <c r="E107" s="37"/>
      <c r="F107" s="36">
        <f t="shared" si="8"/>
        <v>833.33333333333337</v>
      </c>
      <c r="G107" s="48">
        <v>10000</v>
      </c>
      <c r="H107">
        <v>0</v>
      </c>
    </row>
    <row r="108" spans="1:11" ht="30" x14ac:dyDescent="0.2">
      <c r="A108" s="56"/>
      <c r="B108" s="52" t="s">
        <v>106</v>
      </c>
      <c r="C108" s="30" t="s">
        <v>63</v>
      </c>
      <c r="D108" s="37">
        <v>12</v>
      </c>
      <c r="E108" s="32"/>
      <c r="F108" s="61">
        <f t="shared" si="8"/>
        <v>5000</v>
      </c>
      <c r="G108" s="37">
        <v>60000</v>
      </c>
      <c r="H108">
        <v>60000</v>
      </c>
    </row>
    <row r="109" spans="1:11" x14ac:dyDescent="0.2">
      <c r="A109" s="56"/>
      <c r="B109" s="52" t="s">
        <v>141</v>
      </c>
      <c r="C109" s="30"/>
      <c r="D109" s="37"/>
      <c r="E109" s="32"/>
      <c r="F109" s="61">
        <f t="shared" si="8"/>
        <v>2500</v>
      </c>
      <c r="G109" s="37">
        <v>30000</v>
      </c>
      <c r="H109">
        <v>94400</v>
      </c>
    </row>
    <row r="110" spans="1:11" x14ac:dyDescent="0.25">
      <c r="A110" s="62"/>
      <c r="B110" s="52" t="s">
        <v>117</v>
      </c>
      <c r="C110" s="30" t="s">
        <v>63</v>
      </c>
      <c r="D110" s="63"/>
      <c r="E110" s="64"/>
      <c r="F110" s="36">
        <f t="shared" si="8"/>
        <v>3750</v>
      </c>
      <c r="G110" s="37">
        <v>45000</v>
      </c>
      <c r="H110">
        <v>42959</v>
      </c>
      <c r="I110" t="s">
        <v>196</v>
      </c>
    </row>
    <row r="111" spans="1:11" x14ac:dyDescent="0.2">
      <c r="A111" s="74" t="s">
        <v>21</v>
      </c>
      <c r="B111" s="75" t="s">
        <v>37</v>
      </c>
      <c r="C111" s="30" t="s">
        <v>63</v>
      </c>
      <c r="D111" s="73">
        <v>495</v>
      </c>
      <c r="E111" s="32"/>
      <c r="F111" s="38">
        <f>G111/12</f>
        <v>32797.833333333336</v>
      </c>
      <c r="G111" s="39">
        <v>393574</v>
      </c>
      <c r="H111">
        <v>529847.14</v>
      </c>
    </row>
    <row r="112" spans="1:11" x14ac:dyDescent="0.2">
      <c r="A112" s="74" t="s">
        <v>23</v>
      </c>
      <c r="B112" s="65" t="s">
        <v>39</v>
      </c>
      <c r="C112" s="30" t="s">
        <v>63</v>
      </c>
      <c r="D112" s="73"/>
      <c r="E112" s="37"/>
      <c r="F112" s="38">
        <f>G112/12</f>
        <v>57854.166666666664</v>
      </c>
      <c r="G112" s="39">
        <f>(65000*2)+(56425*10)</f>
        <v>694250</v>
      </c>
      <c r="H112">
        <v>747602</v>
      </c>
      <c r="I112" s="3">
        <f>SUM(G112-H112)</f>
        <v>-53352</v>
      </c>
      <c r="K112">
        <v>747602</v>
      </c>
    </row>
    <row r="113" spans="1:8" x14ac:dyDescent="0.2">
      <c r="A113" s="74" t="s">
        <v>25</v>
      </c>
      <c r="B113" s="65" t="s">
        <v>41</v>
      </c>
      <c r="C113" s="30" t="s">
        <v>63</v>
      </c>
      <c r="D113" s="73">
        <v>12</v>
      </c>
      <c r="E113" s="37"/>
      <c r="F113" s="38">
        <v>20360</v>
      </c>
      <c r="G113" s="39">
        <f>F113*12</f>
        <v>244320</v>
      </c>
      <c r="H113">
        <v>244320</v>
      </c>
    </row>
    <row r="114" spans="1:8" x14ac:dyDescent="0.2">
      <c r="A114" s="74" t="s">
        <v>27</v>
      </c>
      <c r="B114" s="65" t="s">
        <v>43</v>
      </c>
      <c r="C114" s="30" t="s">
        <v>63</v>
      </c>
      <c r="D114" s="73">
        <v>12</v>
      </c>
      <c r="E114" s="37"/>
      <c r="F114" s="38">
        <v>9000</v>
      </c>
      <c r="G114" s="39">
        <f>F114*12</f>
        <v>108000</v>
      </c>
      <c r="H114">
        <v>108000</v>
      </c>
    </row>
    <row r="115" spans="1:8" ht="28.5" x14ac:dyDescent="0.2">
      <c r="A115" s="74" t="s">
        <v>29</v>
      </c>
      <c r="B115" s="65" t="s">
        <v>55</v>
      </c>
      <c r="C115" s="73" t="s">
        <v>118</v>
      </c>
      <c r="D115" s="73">
        <v>2.6</v>
      </c>
      <c r="E115" s="32"/>
      <c r="F115" s="38">
        <v>29322.338270763412</v>
      </c>
      <c r="G115" s="39">
        <v>283742</v>
      </c>
    </row>
    <row r="116" spans="1:8" ht="12.75" customHeight="1" x14ac:dyDescent="0.2">
      <c r="A116" s="162" t="s">
        <v>119</v>
      </c>
      <c r="B116" s="162"/>
      <c r="C116" s="162"/>
      <c r="D116" s="162"/>
      <c r="E116" s="162"/>
      <c r="F116" s="162"/>
      <c r="G116" s="45">
        <f>G117+G118+G119+G120+G121+G122+G123</f>
        <v>4939555</v>
      </c>
      <c r="H116" s="45">
        <f>H117+H118+H119+H120+H121+H122+H123</f>
        <v>5624391.5</v>
      </c>
    </row>
    <row r="117" spans="1:8" x14ac:dyDescent="0.25">
      <c r="A117" s="74" t="s">
        <v>30</v>
      </c>
      <c r="B117" s="66" t="s">
        <v>33</v>
      </c>
      <c r="C117" s="67" t="s">
        <v>47</v>
      </c>
      <c r="D117" s="68"/>
      <c r="E117" s="31">
        <v>2.8</v>
      </c>
      <c r="F117" s="30">
        <f>G117/12</f>
        <v>105445.08333333333</v>
      </c>
      <c r="G117" s="47">
        <v>1265341</v>
      </c>
      <c r="H117">
        <v>1344284</v>
      </c>
    </row>
    <row r="118" spans="1:8" x14ac:dyDescent="0.25">
      <c r="A118" s="74" t="s">
        <v>32</v>
      </c>
      <c r="B118" s="60" t="s">
        <v>35</v>
      </c>
      <c r="C118" s="69" t="s">
        <v>47</v>
      </c>
      <c r="D118" s="68"/>
      <c r="E118" s="32">
        <v>1.1599999999999999</v>
      </c>
      <c r="F118" s="30">
        <f t="shared" ref="F118:F123" si="9">G118/12</f>
        <v>19744.583333333332</v>
      </c>
      <c r="G118" s="47">
        <v>236935</v>
      </c>
      <c r="H118">
        <v>192430</v>
      </c>
    </row>
    <row r="119" spans="1:8" ht="12.75" customHeight="1" x14ac:dyDescent="0.25">
      <c r="A119" s="163" t="s">
        <v>34</v>
      </c>
      <c r="B119" s="66" t="s">
        <v>49</v>
      </c>
      <c r="C119" s="67" t="s">
        <v>50</v>
      </c>
      <c r="D119" s="68"/>
      <c r="E119" s="31">
        <v>15.89</v>
      </c>
      <c r="F119" s="30">
        <f t="shared" si="9"/>
        <v>22336.333333333332</v>
      </c>
      <c r="G119" s="47">
        <v>268036</v>
      </c>
      <c r="H119">
        <v>260150</v>
      </c>
    </row>
    <row r="120" spans="1:8" x14ac:dyDescent="0.25">
      <c r="A120" s="163"/>
      <c r="B120" s="66" t="s">
        <v>48</v>
      </c>
      <c r="C120" s="67" t="s">
        <v>50</v>
      </c>
      <c r="D120" s="68"/>
      <c r="E120" s="31">
        <v>15.89</v>
      </c>
      <c r="F120" s="30">
        <f t="shared" si="9"/>
        <v>31482.166666666668</v>
      </c>
      <c r="G120" s="47">
        <v>377786</v>
      </c>
      <c r="H120">
        <v>356087.5</v>
      </c>
    </row>
    <row r="121" spans="1:8" ht="12.75" customHeight="1" x14ac:dyDescent="0.25">
      <c r="A121" s="163" t="s">
        <v>36</v>
      </c>
      <c r="B121" s="66" t="s">
        <v>52</v>
      </c>
      <c r="C121" s="67" t="s">
        <v>50</v>
      </c>
      <c r="D121" s="68"/>
      <c r="E121" s="31">
        <v>60.820000000000007</v>
      </c>
      <c r="F121" s="30">
        <f t="shared" si="9"/>
        <v>89040.75</v>
      </c>
      <c r="G121" s="47">
        <v>1068489</v>
      </c>
      <c r="H121">
        <v>1235817</v>
      </c>
    </row>
    <row r="122" spans="1:8" x14ac:dyDescent="0.25">
      <c r="A122" s="163"/>
      <c r="B122" s="66" t="s">
        <v>120</v>
      </c>
      <c r="C122" s="67" t="s">
        <v>50</v>
      </c>
      <c r="D122" s="68"/>
      <c r="E122" s="31">
        <v>60.820000000000007</v>
      </c>
      <c r="F122" s="30">
        <f t="shared" si="9"/>
        <v>13332.333333333334</v>
      </c>
      <c r="G122" s="47">
        <v>159988</v>
      </c>
      <c r="H122">
        <v>167711</v>
      </c>
    </row>
    <row r="123" spans="1:8" x14ac:dyDescent="0.25">
      <c r="A123" s="74" t="s">
        <v>38</v>
      </c>
      <c r="B123" s="66" t="s">
        <v>53</v>
      </c>
      <c r="C123" s="67" t="s">
        <v>54</v>
      </c>
      <c r="D123" s="68"/>
      <c r="E123" s="40">
        <v>11.856</v>
      </c>
      <c r="F123" s="30">
        <f t="shared" si="9"/>
        <v>130248.33333333333</v>
      </c>
      <c r="G123" s="47">
        <v>1562980</v>
      </c>
      <c r="H123">
        <v>2067912</v>
      </c>
    </row>
    <row r="124" spans="1:8" ht="12.75" customHeight="1" x14ac:dyDescent="0.25">
      <c r="A124" s="70"/>
      <c r="B124" s="164" t="s">
        <v>148</v>
      </c>
      <c r="C124" s="164"/>
      <c r="D124" s="164"/>
      <c r="E124" s="164"/>
      <c r="F124" s="164"/>
      <c r="G124" s="45">
        <f>G125+G126+G127+G128+G129+G130+G131+G132+G133+G134+G135+G136+G137+G138+G139+G140</f>
        <v>8517818.4021654166</v>
      </c>
      <c r="H124" s="45">
        <f>H125+H126+H127+H128+H129+H130+H131+H132+H133+H134+H135+H136+H137+H138+H139+H140</f>
        <v>8433619.1381654181</v>
      </c>
    </row>
    <row r="125" spans="1:8" ht="12.75" customHeight="1" x14ac:dyDescent="0.2">
      <c r="A125" s="74" t="s">
        <v>18</v>
      </c>
      <c r="B125" s="41" t="s">
        <v>24</v>
      </c>
      <c r="C125" s="73"/>
      <c r="D125" s="73"/>
      <c r="E125" s="49"/>
      <c r="F125" s="73"/>
      <c r="G125" s="37">
        <f>G18+G35-G59</f>
        <v>-199144.1018345831</v>
      </c>
      <c r="H125" s="37">
        <f>H18+H35-H59</f>
        <v>-250321.501834583</v>
      </c>
    </row>
    <row r="126" spans="1:8" ht="20.25" customHeight="1" x14ac:dyDescent="0.2">
      <c r="A126" s="74" t="s">
        <v>19</v>
      </c>
      <c r="B126" s="41" t="s">
        <v>121</v>
      </c>
      <c r="C126" s="73"/>
      <c r="D126" s="73"/>
      <c r="E126" s="49"/>
      <c r="F126" s="73"/>
      <c r="G126" s="37">
        <f>G19+G55</f>
        <v>161418.5</v>
      </c>
      <c r="H126" s="37">
        <f>H19+H55</f>
        <v>155828.84</v>
      </c>
    </row>
    <row r="127" spans="1:8" x14ac:dyDescent="0.2">
      <c r="A127" s="74"/>
      <c r="B127" s="41" t="s">
        <v>149</v>
      </c>
      <c r="C127" s="73"/>
      <c r="D127" s="73"/>
      <c r="E127" s="49"/>
      <c r="F127" s="73"/>
      <c r="G127" s="37">
        <f>G20+G36+G56</f>
        <v>7474610.5039999997</v>
      </c>
      <c r="H127" s="37">
        <f>H20+H36+H56</f>
        <v>7477354.9400000004</v>
      </c>
    </row>
    <row r="128" spans="1:8" ht="12.75" customHeight="1" x14ac:dyDescent="0.2">
      <c r="A128" s="74" t="s">
        <v>20</v>
      </c>
      <c r="B128" s="41" t="s">
        <v>22</v>
      </c>
      <c r="C128" s="73"/>
      <c r="D128" s="73"/>
      <c r="E128" s="49"/>
      <c r="F128" s="73"/>
      <c r="G128" s="37">
        <f>G21+G37-G96</f>
        <v>430320</v>
      </c>
      <c r="H128" s="37">
        <f>H21+H37-H96</f>
        <v>391639</v>
      </c>
    </row>
    <row r="129" spans="1:8" ht="12.75" customHeight="1" x14ac:dyDescent="0.25">
      <c r="A129" s="74" t="s">
        <v>21</v>
      </c>
      <c r="B129" s="50" t="s">
        <v>37</v>
      </c>
      <c r="C129" s="73"/>
      <c r="D129" s="73"/>
      <c r="E129" s="49"/>
      <c r="F129" s="73"/>
      <c r="G129" s="37">
        <f t="shared" ref="G129:G132" si="10">G22+G38-G111</f>
        <v>-7981</v>
      </c>
      <c r="H129" s="37">
        <f>H22+H38-H111</f>
        <v>-24587.140000000014</v>
      </c>
    </row>
    <row r="130" spans="1:8" ht="12.75" customHeight="1" x14ac:dyDescent="0.25">
      <c r="A130" s="74" t="s">
        <v>23</v>
      </c>
      <c r="B130" s="50" t="s">
        <v>39</v>
      </c>
      <c r="C130" s="73"/>
      <c r="D130" s="73"/>
      <c r="E130" s="49"/>
      <c r="F130" s="73"/>
      <c r="G130" s="44">
        <f t="shared" si="10"/>
        <v>-42851</v>
      </c>
      <c r="H130" s="44">
        <f>H23+H39-H112</f>
        <v>-96111</v>
      </c>
    </row>
    <row r="131" spans="1:8" ht="12.75" customHeight="1" x14ac:dyDescent="0.25">
      <c r="A131" s="74" t="s">
        <v>25</v>
      </c>
      <c r="B131" s="50" t="s">
        <v>41</v>
      </c>
      <c r="C131" s="73"/>
      <c r="D131" s="73"/>
      <c r="E131" s="49"/>
      <c r="F131" s="73"/>
      <c r="G131" s="44">
        <f t="shared" si="10"/>
        <v>39</v>
      </c>
      <c r="H131" s="44">
        <f>H24+H40-H113</f>
        <v>39</v>
      </c>
    </row>
    <row r="132" spans="1:8" ht="12.75" customHeight="1" x14ac:dyDescent="0.25">
      <c r="A132" s="74" t="s">
        <v>27</v>
      </c>
      <c r="B132" s="50" t="s">
        <v>43</v>
      </c>
      <c r="C132" s="73"/>
      <c r="D132" s="73"/>
      <c r="E132" s="49"/>
      <c r="F132" s="73"/>
      <c r="G132" s="44">
        <f t="shared" si="10"/>
        <v>72</v>
      </c>
      <c r="H132" s="44">
        <f>H25+H41-H114</f>
        <v>88</v>
      </c>
    </row>
    <row r="133" spans="1:8" ht="12.75" customHeight="1" x14ac:dyDescent="0.2">
      <c r="A133" s="74" t="s">
        <v>29</v>
      </c>
      <c r="B133" s="41" t="s">
        <v>33</v>
      </c>
      <c r="C133" s="73"/>
      <c r="D133" s="73"/>
      <c r="E133" s="49"/>
      <c r="F133" s="73"/>
      <c r="G133" s="37">
        <f>G26+G42-G117</f>
        <v>3671.5</v>
      </c>
      <c r="H133" s="37">
        <f>H26+H42-H117</f>
        <v>15275.5</v>
      </c>
    </row>
    <row r="134" spans="1:8" ht="12.75" customHeight="1" x14ac:dyDescent="0.2">
      <c r="A134" s="74" t="s">
        <v>30</v>
      </c>
      <c r="B134" s="41" t="s">
        <v>35</v>
      </c>
      <c r="C134" s="73"/>
      <c r="D134" s="73"/>
      <c r="E134" s="49"/>
      <c r="F134" s="73"/>
      <c r="G134" s="37">
        <f>G27+G43-G118</f>
        <v>1679</v>
      </c>
      <c r="H134" s="37">
        <f>H27+H43-H118</f>
        <v>1679</v>
      </c>
    </row>
    <row r="135" spans="1:8" ht="12.75" customHeight="1" x14ac:dyDescent="0.2">
      <c r="A135" s="74" t="s">
        <v>32</v>
      </c>
      <c r="B135" s="41" t="s">
        <v>28</v>
      </c>
      <c r="C135" s="73"/>
      <c r="D135" s="73"/>
      <c r="E135" s="49"/>
      <c r="F135" s="73"/>
      <c r="G135" s="37">
        <f>G28+G44-G119-G120</f>
        <v>-238490</v>
      </c>
      <c r="H135" s="37">
        <f>H28+H44-H119-H120</f>
        <v>-225053.5</v>
      </c>
    </row>
    <row r="136" spans="1:8" ht="12.75" customHeight="1" x14ac:dyDescent="0.2">
      <c r="A136" s="74" t="s">
        <v>34</v>
      </c>
      <c r="B136" s="41" t="s">
        <v>26</v>
      </c>
      <c r="C136" s="73"/>
      <c r="D136" s="73"/>
      <c r="E136" s="49"/>
      <c r="F136" s="73"/>
      <c r="G136" s="37">
        <f>G29+G47-G121-G122</f>
        <v>538588.5</v>
      </c>
      <c r="H136" s="37">
        <f>H29+H47-H121-H122</f>
        <v>581252.5</v>
      </c>
    </row>
    <row r="137" spans="1:8" ht="12.75" customHeight="1" x14ac:dyDescent="0.2">
      <c r="A137" s="74" t="s">
        <v>36</v>
      </c>
      <c r="B137" s="41" t="s">
        <v>122</v>
      </c>
      <c r="C137" s="73"/>
      <c r="D137" s="73"/>
      <c r="E137" s="49"/>
      <c r="F137" s="73"/>
      <c r="G137" s="37">
        <f>G30+G50-G123</f>
        <v>188342.5</v>
      </c>
      <c r="H137" s="37">
        <f>H30+H50-H123+536566</f>
        <v>188342.5</v>
      </c>
    </row>
    <row r="138" spans="1:8" ht="12.75" customHeight="1" x14ac:dyDescent="0.2">
      <c r="A138" s="74" t="s">
        <v>38</v>
      </c>
      <c r="B138" s="41" t="s">
        <v>31</v>
      </c>
      <c r="C138" s="73"/>
      <c r="D138" s="73"/>
      <c r="E138" s="49"/>
      <c r="F138" s="73"/>
      <c r="G138" s="37">
        <f>G31</f>
        <v>-9645</v>
      </c>
      <c r="H138" s="37">
        <f>31:31+H54</f>
        <v>-8995</v>
      </c>
    </row>
    <row r="139" spans="1:8" ht="12.75" customHeight="1" x14ac:dyDescent="0.2">
      <c r="A139" s="74" t="s">
        <v>40</v>
      </c>
      <c r="B139" s="41" t="s">
        <v>123</v>
      </c>
      <c r="C139" s="73"/>
      <c r="D139" s="73"/>
      <c r="E139" s="49"/>
      <c r="F139" s="73"/>
      <c r="G139" s="37">
        <f>G32</f>
        <v>21888</v>
      </c>
      <c r="H139" s="37">
        <f>H32+H52</f>
        <v>31888</v>
      </c>
    </row>
    <row r="140" spans="1:8" ht="12.75" customHeight="1" x14ac:dyDescent="0.25">
      <c r="A140" s="74" t="s">
        <v>42</v>
      </c>
      <c r="B140" s="50" t="s">
        <v>62</v>
      </c>
      <c r="C140" s="73"/>
      <c r="D140" s="73"/>
      <c r="E140" s="49"/>
      <c r="F140" s="73"/>
      <c r="G140" s="44">
        <f>G33+G57</f>
        <v>195300</v>
      </c>
      <c r="H140" s="44">
        <f>H33+H57</f>
        <v>195300</v>
      </c>
    </row>
  </sheetData>
  <mergeCells count="23">
    <mergeCell ref="A10:B10"/>
    <mergeCell ref="A2:G2"/>
    <mergeCell ref="A4:G4"/>
    <mergeCell ref="A5:G5"/>
    <mergeCell ref="A7:G7"/>
    <mergeCell ref="A8:G8"/>
    <mergeCell ref="A11:B11"/>
    <mergeCell ref="A12:B12"/>
    <mergeCell ref="A13:A16"/>
    <mergeCell ref="B13:B16"/>
    <mergeCell ref="C13:C16"/>
    <mergeCell ref="A116:F116"/>
    <mergeCell ref="A119:A120"/>
    <mergeCell ref="A121:A122"/>
    <mergeCell ref="B124:F124"/>
    <mergeCell ref="F13:G14"/>
    <mergeCell ref="F15:F16"/>
    <mergeCell ref="G15:G16"/>
    <mergeCell ref="B17:D17"/>
    <mergeCell ref="A58:E58"/>
    <mergeCell ref="A34:E34"/>
    <mergeCell ref="D13:D16"/>
    <mergeCell ref="E13:E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11"/>
  <sheetViews>
    <sheetView workbookViewId="0">
      <selection activeCell="H22" sqref="H22"/>
    </sheetView>
  </sheetViews>
  <sheetFormatPr defaultRowHeight="15" x14ac:dyDescent="0.25"/>
  <cols>
    <col min="1" max="1" width="5.7109375" style="127" customWidth="1"/>
    <col min="2" max="2" width="31.7109375" style="79" customWidth="1"/>
    <col min="3" max="3" width="9.28515625" style="79" hidden="1" customWidth="1"/>
    <col min="4" max="4" width="11.42578125" style="80" customWidth="1"/>
    <col min="5" max="5" width="11.7109375" style="80" customWidth="1"/>
    <col min="6" max="6" width="10.28515625" style="98" customWidth="1"/>
    <col min="7" max="7" width="10.28515625" style="79" customWidth="1"/>
    <col min="8" max="122" width="9.28515625" style="79" customWidth="1"/>
    <col min="123" max="244" width="9.28515625" style="120" customWidth="1"/>
    <col min="245" max="1012" width="9.28515625" customWidth="1"/>
  </cols>
  <sheetData>
    <row r="1" spans="1:244" x14ac:dyDescent="0.25">
      <c r="A1" s="78"/>
      <c r="E1" s="81"/>
      <c r="F1" s="8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x14ac:dyDescent="0.25">
      <c r="A2" s="78"/>
      <c r="E2" s="81"/>
      <c r="F2" s="8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5.25" customHeight="1" x14ac:dyDescent="0.25">
      <c r="A3" s="78"/>
      <c r="E3" s="81"/>
      <c r="F3" s="8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x14ac:dyDescent="0.25">
      <c r="A4" s="78"/>
      <c r="B4" s="78" t="s">
        <v>150</v>
      </c>
      <c r="E4" s="81"/>
      <c r="F4" s="8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x14ac:dyDescent="0.25">
      <c r="A5" s="78"/>
      <c r="B5" s="81" t="s">
        <v>151</v>
      </c>
      <c r="E5" s="81"/>
      <c r="F5" s="8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3.75" customHeight="1" x14ac:dyDescent="0.25">
      <c r="A6" s="78"/>
      <c r="B6" s="81"/>
      <c r="E6" s="81"/>
      <c r="F6" s="8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6.5" customHeight="1" x14ac:dyDescent="0.25">
      <c r="A7" s="168" t="s">
        <v>152</v>
      </c>
      <c r="B7" s="168"/>
      <c r="C7" s="83"/>
      <c r="D7" s="84">
        <v>12836.4</v>
      </c>
      <c r="E7" s="85" t="s">
        <v>5</v>
      </c>
      <c r="F7" s="8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6.5" hidden="1" customHeight="1" x14ac:dyDescent="0.25">
      <c r="A8" s="168" t="s">
        <v>6</v>
      </c>
      <c r="B8" s="168"/>
      <c r="C8" s="83"/>
      <c r="D8" s="87">
        <v>269</v>
      </c>
      <c r="E8" s="85" t="s">
        <v>7</v>
      </c>
      <c r="F8" s="8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15" customHeight="1" x14ac:dyDescent="0.25">
      <c r="A9" s="168" t="s">
        <v>8</v>
      </c>
      <c r="B9" s="168"/>
      <c r="C9" s="88"/>
      <c r="D9" s="85">
        <v>249</v>
      </c>
      <c r="E9" s="85" t="s">
        <v>9</v>
      </c>
      <c r="F9" s="8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3" customHeight="1" x14ac:dyDescent="0.25">
      <c r="A10" s="90"/>
      <c r="B10" s="88"/>
      <c r="C10" s="88"/>
      <c r="D10" s="91"/>
      <c r="E10" s="91"/>
      <c r="F10" s="9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s="93" customFormat="1" ht="15" customHeight="1" x14ac:dyDescent="0.25">
      <c r="A11" s="171" t="s">
        <v>10</v>
      </c>
      <c r="B11" s="172" t="s">
        <v>11</v>
      </c>
      <c r="C11" s="10"/>
      <c r="D11" s="175" t="s">
        <v>15</v>
      </c>
      <c r="E11" s="175"/>
      <c r="F11" s="174" t="s">
        <v>153</v>
      </c>
    </row>
    <row r="12" spans="1:244" s="93" customFormat="1" ht="15" customHeight="1" x14ac:dyDescent="0.25">
      <c r="A12" s="171"/>
      <c r="B12" s="172"/>
      <c r="C12" s="10"/>
      <c r="D12" s="175"/>
      <c r="E12" s="175"/>
      <c r="F12" s="174"/>
    </row>
    <row r="13" spans="1:244" s="93" customFormat="1" ht="12.75" customHeight="1" x14ac:dyDescent="0.25">
      <c r="A13" s="171"/>
      <c r="B13" s="172"/>
      <c r="C13" s="10"/>
      <c r="D13" s="175" t="s">
        <v>16</v>
      </c>
      <c r="E13" s="172" t="s">
        <v>17</v>
      </c>
      <c r="F13" s="176" t="s">
        <v>154</v>
      </c>
    </row>
    <row r="14" spans="1:244" s="93" customFormat="1" ht="12.75" customHeight="1" x14ac:dyDescent="0.25">
      <c r="A14" s="171"/>
      <c r="B14" s="172"/>
      <c r="C14" s="10"/>
      <c r="D14" s="175"/>
      <c r="E14" s="172"/>
      <c r="F14" s="176"/>
    </row>
    <row r="15" spans="1:244" ht="21" customHeight="1" x14ac:dyDescent="0.25">
      <c r="A15" s="177" t="s">
        <v>155</v>
      </c>
      <c r="B15" s="177"/>
      <c r="C15" s="177"/>
      <c r="D15" s="177"/>
      <c r="E15" s="177"/>
      <c r="F15" s="17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21" customHeight="1" x14ac:dyDescent="0.25">
      <c r="A16" s="77"/>
      <c r="B16" s="77"/>
      <c r="C16" s="77"/>
      <c r="D16" s="94">
        <f>E16/12</f>
        <v>556663.92277275294</v>
      </c>
      <c r="E16" s="95">
        <f>E17+E30+E31+E32+E33+E34+E35+E36</f>
        <v>6679967.0732730348</v>
      </c>
      <c r="F16" s="7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s="93" customFormat="1" ht="26.25" customHeight="1" x14ac:dyDescent="0.25">
      <c r="A17" s="96">
        <v>1</v>
      </c>
      <c r="B17" s="11" t="s">
        <v>45</v>
      </c>
      <c r="C17" s="12"/>
      <c r="D17" s="94">
        <f t="shared" ref="D17:D29" si="0">E17/12</f>
        <v>283560.46410608623</v>
      </c>
      <c r="E17" s="97">
        <f>E18+E19+E20+E21+E22+E23+E24+E25</f>
        <v>3402725.569273035</v>
      </c>
      <c r="F17" s="178">
        <f>E17/12/D7</f>
        <v>22.090341848655871</v>
      </c>
    </row>
    <row r="18" spans="1:244" ht="15.75" customHeight="1" x14ac:dyDescent="0.25">
      <c r="A18" s="13" t="s">
        <v>66</v>
      </c>
      <c r="B18" s="11" t="s">
        <v>136</v>
      </c>
      <c r="C18" s="14"/>
      <c r="D18" s="94">
        <f t="shared" si="0"/>
        <v>9636.0833333333339</v>
      </c>
      <c r="E18" s="20">
        <f>'[1]Cмета 2021'!G60</f>
        <v>115633</v>
      </c>
      <c r="F18" s="17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x14ac:dyDescent="0.25">
      <c r="A19" s="13" t="s">
        <v>67</v>
      </c>
      <c r="B19" s="11" t="s">
        <v>68</v>
      </c>
      <c r="C19" s="14"/>
      <c r="D19" s="94">
        <f t="shared" si="0"/>
        <v>7559.166666666667</v>
      </c>
      <c r="E19" s="20">
        <f>'Смета 21'!G61</f>
        <v>90710</v>
      </c>
      <c r="F19" s="17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x14ac:dyDescent="0.25">
      <c r="A20" s="13" t="s">
        <v>74</v>
      </c>
      <c r="B20" s="11" t="s">
        <v>75</v>
      </c>
      <c r="C20" s="14"/>
      <c r="D20" s="94">
        <f t="shared" si="0"/>
        <v>1155.6000000000001</v>
      </c>
      <c r="E20" s="20">
        <f>'[1]Cмета 2021'!G69</f>
        <v>13867.2</v>
      </c>
      <c r="F20" s="17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30" x14ac:dyDescent="0.25">
      <c r="A21" s="13" t="s">
        <v>79</v>
      </c>
      <c r="B21" s="11" t="s">
        <v>80</v>
      </c>
      <c r="C21" s="14"/>
      <c r="D21" s="94">
        <f t="shared" si="0"/>
        <v>2255</v>
      </c>
      <c r="E21" s="20">
        <f>'[1]Cмета 2021'!G72</f>
        <v>27060</v>
      </c>
      <c r="F21" s="178"/>
      <c r="H21" s="14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x14ac:dyDescent="0.25">
      <c r="A22" s="13" t="s">
        <v>81</v>
      </c>
      <c r="B22" s="11" t="s">
        <v>82</v>
      </c>
      <c r="C22" s="14"/>
      <c r="D22" s="94">
        <f t="shared" si="0"/>
        <v>995.83333333333337</v>
      </c>
      <c r="E22" s="20">
        <f>'Смета 21'!G73</f>
        <v>11950</v>
      </c>
      <c r="F22" s="178"/>
      <c r="H22" s="149">
        <f>F17+F31</f>
        <v>23.802205507210189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x14ac:dyDescent="0.25">
      <c r="A23" s="13" t="s">
        <v>86</v>
      </c>
      <c r="B23" s="11" t="s">
        <v>87</v>
      </c>
      <c r="C23" s="14"/>
      <c r="D23" s="94">
        <f t="shared" si="0"/>
        <v>11120.833333333334</v>
      </c>
      <c r="E23" s="20">
        <f>'Смета 21'!G77</f>
        <v>133450</v>
      </c>
      <c r="F23" s="178"/>
      <c r="G23" s="9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6.5" customHeight="1" x14ac:dyDescent="0.25">
      <c r="A24" s="13" t="s">
        <v>92</v>
      </c>
      <c r="B24" s="11" t="s">
        <v>93</v>
      </c>
      <c r="C24" s="14"/>
      <c r="D24" s="94">
        <f t="shared" si="0"/>
        <v>20000</v>
      </c>
      <c r="E24" s="20">
        <f>'Смета 21'!G86</f>
        <v>240000</v>
      </c>
      <c r="F24" s="17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x14ac:dyDescent="0.25">
      <c r="A25" s="13" t="s">
        <v>98</v>
      </c>
      <c r="B25" s="11" t="s">
        <v>99</v>
      </c>
      <c r="C25" s="14"/>
      <c r="D25" s="94">
        <f t="shared" si="0"/>
        <v>230837.9474394196</v>
      </c>
      <c r="E25" s="20">
        <f>E26+E27+E28+E29</f>
        <v>2770055.3692730353</v>
      </c>
      <c r="F25" s="17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x14ac:dyDescent="0.25">
      <c r="A26" s="13" t="s">
        <v>100</v>
      </c>
      <c r="B26" s="11" t="s">
        <v>156</v>
      </c>
      <c r="C26" s="14"/>
      <c r="D26" s="94">
        <f>E26/12</f>
        <v>158068.70688666668</v>
      </c>
      <c r="E26" s="20">
        <f>'Смета 21'!G90</f>
        <v>1896824.4826400001</v>
      </c>
      <c r="F26" s="17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5" customHeight="1" x14ac:dyDescent="0.25">
      <c r="A27" s="13" t="s">
        <v>102</v>
      </c>
      <c r="B27" s="11" t="s">
        <v>127</v>
      </c>
      <c r="C27" s="15">
        <v>0.30199999999999999</v>
      </c>
      <c r="D27" s="94">
        <f t="shared" si="0"/>
        <v>53543.056932952932</v>
      </c>
      <c r="E27" s="20">
        <f>'Смета 21'!G91</f>
        <v>642516.68319543521</v>
      </c>
      <c r="F27" s="17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45" customHeight="1" x14ac:dyDescent="0.25">
      <c r="A28" s="13" t="s">
        <v>103</v>
      </c>
      <c r="B28" s="11" t="s">
        <v>157</v>
      </c>
      <c r="C28" s="15">
        <v>0.09</v>
      </c>
      <c r="D28" s="94">
        <f t="shared" si="0"/>
        <v>14226.183619800002</v>
      </c>
      <c r="E28" s="20">
        <f>'Смета 21'!G92</f>
        <v>170714.20343760002</v>
      </c>
      <c r="F28" s="17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45" customHeight="1" x14ac:dyDescent="0.25">
      <c r="A29" s="13" t="s">
        <v>104</v>
      </c>
      <c r="B29" s="11" t="s">
        <v>105</v>
      </c>
      <c r="C29" s="14"/>
      <c r="D29" s="94">
        <f t="shared" si="0"/>
        <v>5000</v>
      </c>
      <c r="E29" s="20">
        <f>'Смета 21'!G93</f>
        <v>60000</v>
      </c>
      <c r="F29" s="17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93" customFormat="1" ht="14.45" customHeight="1" x14ac:dyDescent="0.25">
      <c r="A30" s="96" t="s">
        <v>19</v>
      </c>
      <c r="B30" s="9" t="s">
        <v>145</v>
      </c>
      <c r="C30" s="99"/>
      <c r="D30" s="97">
        <f>E30/12</f>
        <v>103076.29199999997</v>
      </c>
      <c r="E30" s="97">
        <f>'Смета 21'!G36</f>
        <v>1236915.5039999997</v>
      </c>
      <c r="F30" s="16">
        <v>8.0299999999999994</v>
      </c>
      <c r="G30" s="100"/>
    </row>
    <row r="31" spans="1:244" s="93" customFormat="1" ht="14.45" customHeight="1" x14ac:dyDescent="0.25">
      <c r="A31" s="96" t="s">
        <v>20</v>
      </c>
      <c r="B31" s="11" t="s">
        <v>22</v>
      </c>
      <c r="C31" s="14"/>
      <c r="D31" s="97">
        <f t="shared" ref="D31:D36" si="1">E31/12</f>
        <v>21974.166666666668</v>
      </c>
      <c r="E31" s="97">
        <f>'Смета 21'!G37</f>
        <v>263690</v>
      </c>
      <c r="F31" s="16">
        <f>D31/D7</f>
        <v>1.7118636585543197</v>
      </c>
      <c r="G31" s="100"/>
    </row>
    <row r="32" spans="1:244" s="93" customFormat="1" ht="14.45" customHeight="1" x14ac:dyDescent="0.25">
      <c r="A32" s="96" t="s">
        <v>21</v>
      </c>
      <c r="B32" s="17" t="s">
        <v>158</v>
      </c>
      <c r="C32" s="12"/>
      <c r="D32" s="97">
        <f t="shared" si="1"/>
        <v>32797.833333333336</v>
      </c>
      <c r="E32" s="97">
        <f>'Смета 21'!G38</f>
        <v>393574</v>
      </c>
      <c r="F32" s="16">
        <v>54.69</v>
      </c>
      <c r="G32" s="100"/>
    </row>
    <row r="33" spans="1:244" s="93" customFormat="1" ht="14.45" customHeight="1" x14ac:dyDescent="0.25">
      <c r="A33" s="96" t="s">
        <v>23</v>
      </c>
      <c r="B33" s="17" t="s">
        <v>39</v>
      </c>
      <c r="C33" s="12"/>
      <c r="D33" s="97">
        <f t="shared" si="1"/>
        <v>62250</v>
      </c>
      <c r="E33" s="97">
        <v>747000</v>
      </c>
      <c r="F33" s="16">
        <f>D33/D7</f>
        <v>4.8494905113583249</v>
      </c>
      <c r="G33" s="100"/>
    </row>
    <row r="34" spans="1:244" s="93" customFormat="1" ht="14.45" customHeight="1" x14ac:dyDescent="0.25">
      <c r="A34" s="96" t="s">
        <v>25</v>
      </c>
      <c r="B34" s="17" t="s">
        <v>41</v>
      </c>
      <c r="C34" s="101"/>
      <c r="D34" s="97">
        <f t="shared" si="1"/>
        <v>20360</v>
      </c>
      <c r="E34" s="97">
        <f>'[1]Cмета 2021'!G40</f>
        <v>244320</v>
      </c>
      <c r="F34" s="16">
        <f>D34/225</f>
        <v>90.488888888888894</v>
      </c>
      <c r="G34" s="100"/>
    </row>
    <row r="35" spans="1:244" s="93" customFormat="1" ht="14.45" customHeight="1" x14ac:dyDescent="0.25">
      <c r="A35" s="96" t="s">
        <v>27</v>
      </c>
      <c r="B35" s="17" t="s">
        <v>43</v>
      </c>
      <c r="C35" s="101"/>
      <c r="D35" s="97">
        <f t="shared" si="1"/>
        <v>9000</v>
      </c>
      <c r="E35" s="102">
        <f>'Смета 21'!G41</f>
        <v>108000</v>
      </c>
      <c r="F35" s="16">
        <f>D35/D9</f>
        <v>36.144578313253014</v>
      </c>
      <c r="G35" s="100"/>
    </row>
    <row r="36" spans="1:244" s="93" customFormat="1" ht="24" x14ac:dyDescent="0.25">
      <c r="A36" s="96" t="s">
        <v>29</v>
      </c>
      <c r="B36" s="103" t="s">
        <v>159</v>
      </c>
      <c r="C36" s="101"/>
      <c r="D36" s="97">
        <f t="shared" si="1"/>
        <v>23645.166666666668</v>
      </c>
      <c r="E36" s="102">
        <f>'Смета 21'!G51</f>
        <v>283742</v>
      </c>
      <c r="F36" s="16">
        <v>2.6</v>
      </c>
      <c r="G36" s="100"/>
    </row>
    <row r="37" spans="1:244" s="93" customFormat="1" ht="14.45" customHeight="1" x14ac:dyDescent="0.25">
      <c r="A37" s="104"/>
      <c r="B37" s="105"/>
      <c r="C37" s="106"/>
      <c r="D37" s="107"/>
      <c r="E37" s="108"/>
      <c r="F37" s="109"/>
      <c r="G37" s="100"/>
    </row>
    <row r="38" spans="1:244" ht="14.45" customHeight="1" x14ac:dyDescent="0.25">
      <c r="A38" s="110"/>
      <c r="B38" s="110"/>
      <c r="C38" s="110"/>
      <c r="D38" s="111"/>
      <c r="E38" s="111"/>
      <c r="F38" s="110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4.45" customHeight="1" x14ac:dyDescent="0.25">
      <c r="A39" s="179" t="s">
        <v>119</v>
      </c>
      <c r="B39" s="179"/>
      <c r="C39" s="179"/>
      <c r="D39" s="179"/>
      <c r="E39" s="179"/>
      <c r="F39" s="17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4.45" customHeight="1" x14ac:dyDescent="0.25">
      <c r="A40" s="110"/>
      <c r="B40" s="110"/>
      <c r="C40" s="110"/>
      <c r="D40" s="111"/>
      <c r="E40" s="111"/>
      <c r="F40" s="11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38.25" customHeight="1" x14ac:dyDescent="0.25">
      <c r="A41" s="77"/>
      <c r="B41" s="77" t="s">
        <v>160</v>
      </c>
      <c r="C41" s="77" t="s">
        <v>161</v>
      </c>
      <c r="D41" s="77" t="s">
        <v>153</v>
      </c>
      <c r="E41" s="112"/>
      <c r="F41" s="113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4.45" customHeight="1" x14ac:dyDescent="0.25">
      <c r="A42" s="114" t="s">
        <v>18</v>
      </c>
      <c r="B42" s="17" t="s">
        <v>162</v>
      </c>
      <c r="C42" s="16" t="s">
        <v>47</v>
      </c>
      <c r="D42" s="101">
        <v>2.8</v>
      </c>
      <c r="E42" s="115"/>
      <c r="F42" s="180"/>
      <c r="G42" s="180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4.45" customHeight="1" x14ac:dyDescent="0.25">
      <c r="A43" s="181" t="s">
        <v>19</v>
      </c>
      <c r="B43" s="17" t="s">
        <v>163</v>
      </c>
      <c r="C43" s="16" t="s">
        <v>50</v>
      </c>
      <c r="D43" s="18">
        <v>17.27</v>
      </c>
      <c r="E43" s="116"/>
      <c r="F43" s="180"/>
      <c r="G43" s="18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14.45" customHeight="1" x14ac:dyDescent="0.25">
      <c r="A44" s="181"/>
      <c r="B44" s="17" t="s">
        <v>120</v>
      </c>
      <c r="C44" s="16" t="s">
        <v>50</v>
      </c>
      <c r="D44" s="18">
        <v>17.27</v>
      </c>
      <c r="E44" s="116"/>
      <c r="F44" s="11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14.45" customHeight="1" x14ac:dyDescent="0.25">
      <c r="A45" s="181" t="s">
        <v>20</v>
      </c>
      <c r="B45" s="17" t="s">
        <v>164</v>
      </c>
      <c r="C45" s="16" t="s">
        <v>50</v>
      </c>
      <c r="D45" s="18">
        <v>61.22</v>
      </c>
      <c r="E45" s="116"/>
      <c r="F45" s="11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4.45" customHeight="1" x14ac:dyDescent="0.25">
      <c r="A46" s="181"/>
      <c r="B46" s="17" t="s">
        <v>120</v>
      </c>
      <c r="C46" s="16" t="s">
        <v>50</v>
      </c>
      <c r="D46" s="18">
        <v>61.22</v>
      </c>
      <c r="E46" s="116"/>
      <c r="F46" s="11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14.45" customHeight="1" x14ac:dyDescent="0.25">
      <c r="A47" s="114" t="s">
        <v>21</v>
      </c>
      <c r="B47" s="17" t="s">
        <v>165</v>
      </c>
      <c r="C47" s="16" t="s">
        <v>54</v>
      </c>
      <c r="D47" s="101">
        <v>11.02</v>
      </c>
      <c r="E47" s="117"/>
      <c r="F47" s="118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14.45" customHeight="1" x14ac:dyDescent="0.25">
      <c r="A48" s="114" t="s">
        <v>23</v>
      </c>
      <c r="B48" s="103" t="s">
        <v>166</v>
      </c>
      <c r="C48" s="16" t="s">
        <v>167</v>
      </c>
      <c r="D48" s="16">
        <v>8.0299999999999994</v>
      </c>
      <c r="E48" s="119"/>
      <c r="F48" s="11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4.45" customHeight="1" x14ac:dyDescent="0.25">
      <c r="A49" s="173"/>
      <c r="B49" s="173"/>
      <c r="C49" s="173"/>
      <c r="D49" s="173"/>
      <c r="E49" s="173"/>
      <c r="F49" s="173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1" spans="1:244" x14ac:dyDescent="0.25">
      <c r="A51" s="182" t="s">
        <v>186</v>
      </c>
      <c r="B51" s="182"/>
      <c r="C51" s="182"/>
      <c r="D51" s="182"/>
      <c r="E51" s="182"/>
      <c r="F51" s="182"/>
    </row>
    <row r="53" spans="1:244" ht="30" x14ac:dyDescent="0.25">
      <c r="A53" s="121" t="s">
        <v>168</v>
      </c>
      <c r="B53" s="122" t="s">
        <v>169</v>
      </c>
      <c r="C53" s="101" t="s">
        <v>170</v>
      </c>
      <c r="D53" s="123" t="s">
        <v>171</v>
      </c>
      <c r="E53" s="123" t="s">
        <v>172</v>
      </c>
      <c r="F53" s="19" t="s">
        <v>173</v>
      </c>
      <c r="G53" s="124" t="s">
        <v>174</v>
      </c>
    </row>
    <row r="54" spans="1:244" x14ac:dyDescent="0.25">
      <c r="A54" s="125" t="s">
        <v>18</v>
      </c>
      <c r="B54" s="12" t="s">
        <v>175</v>
      </c>
      <c r="C54" s="21">
        <v>4000</v>
      </c>
      <c r="D54" s="21">
        <v>23870</v>
      </c>
      <c r="E54" s="21">
        <f>D54*13%</f>
        <v>3103.1</v>
      </c>
      <c r="F54" s="21">
        <f>D54*30.2%</f>
        <v>7208.74</v>
      </c>
      <c r="G54" s="126">
        <f>D54-E54</f>
        <v>20766.900000000001</v>
      </c>
    </row>
    <row r="55" spans="1:244" x14ac:dyDescent="0.25">
      <c r="A55" s="125" t="s">
        <v>19</v>
      </c>
      <c r="B55" s="17" t="s">
        <v>176</v>
      </c>
      <c r="C55" s="21">
        <v>4800</v>
      </c>
      <c r="D55" s="21">
        <v>26400</v>
      </c>
      <c r="E55" s="21">
        <f>D55*13%</f>
        <v>3432</v>
      </c>
      <c r="F55" s="21">
        <f>D55*30.2%</f>
        <v>7972.8</v>
      </c>
      <c r="G55" s="126">
        <f>D55-E55</f>
        <v>22968</v>
      </c>
    </row>
    <row r="56" spans="1:244" x14ac:dyDescent="0.25">
      <c r="A56" s="125" t="s">
        <v>20</v>
      </c>
      <c r="B56" s="17" t="s">
        <v>177</v>
      </c>
      <c r="C56" s="21">
        <v>2700</v>
      </c>
      <c r="D56" s="21">
        <v>19550</v>
      </c>
      <c r="E56" s="21">
        <f>D56*13%</f>
        <v>2541.5</v>
      </c>
      <c r="F56" s="21">
        <f>D56*30.2%</f>
        <v>5904.0999999999995</v>
      </c>
      <c r="G56" s="126">
        <f>D56-E56</f>
        <v>17008.5</v>
      </c>
    </row>
    <row r="57" spans="1:244" x14ac:dyDescent="0.25">
      <c r="A57" s="125" t="s">
        <v>21</v>
      </c>
      <c r="B57" s="17" t="s">
        <v>178</v>
      </c>
      <c r="C57" s="21">
        <v>900</v>
      </c>
      <c r="D57" s="21">
        <v>5524.7182199999997</v>
      </c>
      <c r="E57" s="21">
        <f>D57*13%</f>
        <v>718.21336859999997</v>
      </c>
      <c r="F57" s="21">
        <f t="shared" ref="F57:F63" si="2">D57*30.2%</f>
        <v>1668.4649024399998</v>
      </c>
      <c r="G57" s="126">
        <f t="shared" ref="G57:G61" si="3">D57-E57</f>
        <v>4806.5048514</v>
      </c>
    </row>
    <row r="58" spans="1:244" x14ac:dyDescent="0.25">
      <c r="A58" s="125" t="s">
        <v>23</v>
      </c>
      <c r="B58" s="12" t="s">
        <v>179</v>
      </c>
      <c r="C58" s="21">
        <v>2300</v>
      </c>
      <c r="D58" s="21">
        <v>12650.000000000002</v>
      </c>
      <c r="E58" s="21">
        <f t="shared" ref="E58:E63" si="4">D58*13%</f>
        <v>1644.5000000000002</v>
      </c>
      <c r="F58" s="21">
        <f t="shared" si="2"/>
        <v>3820.3000000000006</v>
      </c>
      <c r="G58" s="126">
        <f t="shared" si="3"/>
        <v>11005.500000000002</v>
      </c>
    </row>
    <row r="59" spans="1:244" x14ac:dyDescent="0.25">
      <c r="A59" s="125" t="s">
        <v>25</v>
      </c>
      <c r="B59" s="17" t="s">
        <v>180</v>
      </c>
      <c r="C59" s="21">
        <v>1500</v>
      </c>
      <c r="D59" s="21">
        <v>8951.25</v>
      </c>
      <c r="E59" s="21">
        <f t="shared" si="4"/>
        <v>1163.6625000000001</v>
      </c>
      <c r="F59" s="21">
        <f t="shared" si="2"/>
        <v>2703.2774999999997</v>
      </c>
      <c r="G59" s="126">
        <f t="shared" si="3"/>
        <v>7787.5874999999996</v>
      </c>
    </row>
    <row r="60" spans="1:244" x14ac:dyDescent="0.25">
      <c r="A60" s="125" t="s">
        <v>27</v>
      </c>
      <c r="B60" s="17" t="s">
        <v>181</v>
      </c>
      <c r="C60" s="21">
        <v>2100</v>
      </c>
      <c r="D60" s="21">
        <v>12124.71</v>
      </c>
      <c r="E60" s="21">
        <f>D60*13%</f>
        <v>1576.2122999999999</v>
      </c>
      <c r="F60" s="21">
        <f t="shared" si="2"/>
        <v>3661.6624199999997</v>
      </c>
      <c r="G60" s="126">
        <f t="shared" si="3"/>
        <v>10548.4977</v>
      </c>
    </row>
    <row r="61" spans="1:244" x14ac:dyDescent="0.25">
      <c r="A61" s="125" t="s">
        <v>29</v>
      </c>
      <c r="B61" s="17" t="s">
        <v>181</v>
      </c>
      <c r="C61" s="21">
        <v>2100</v>
      </c>
      <c r="D61" s="21">
        <v>12124.71</v>
      </c>
      <c r="E61" s="21">
        <f>D61*13%</f>
        <v>1576.2122999999999</v>
      </c>
      <c r="F61" s="21">
        <f t="shared" si="2"/>
        <v>3661.6624199999997</v>
      </c>
      <c r="G61" s="126">
        <f t="shared" si="3"/>
        <v>10548.4977</v>
      </c>
    </row>
    <row r="62" spans="1:244" x14ac:dyDescent="0.25">
      <c r="A62" s="125" t="s">
        <v>30</v>
      </c>
      <c r="B62" s="12" t="s">
        <v>182</v>
      </c>
      <c r="C62" s="21">
        <v>2200</v>
      </c>
      <c r="D62" s="21">
        <v>20690</v>
      </c>
      <c r="E62" s="21">
        <f>D62*13%</f>
        <v>2689.7000000000003</v>
      </c>
      <c r="F62" s="21">
        <f t="shared" si="2"/>
        <v>6248.38</v>
      </c>
      <c r="G62" s="126">
        <f>D62-E62</f>
        <v>18000.3</v>
      </c>
    </row>
    <row r="63" spans="1:244" x14ac:dyDescent="0.25">
      <c r="A63" s="125" t="s">
        <v>32</v>
      </c>
      <c r="B63" s="12" t="s">
        <v>182</v>
      </c>
      <c r="C63" s="21">
        <v>2200</v>
      </c>
      <c r="D63" s="21">
        <v>20690</v>
      </c>
      <c r="E63" s="21">
        <f t="shared" si="4"/>
        <v>2689.7000000000003</v>
      </c>
      <c r="F63" s="21">
        <f t="shared" si="2"/>
        <v>6248.38</v>
      </c>
      <c r="G63" s="126">
        <f>D63-E63</f>
        <v>18000.3</v>
      </c>
    </row>
    <row r="64" spans="1:244" x14ac:dyDescent="0.25">
      <c r="A64" s="183" t="s">
        <v>183</v>
      </c>
      <c r="B64" s="184"/>
      <c r="C64" s="21">
        <f>SUM(C54:C63)</f>
        <v>24800</v>
      </c>
      <c r="D64" s="21">
        <f>SUM(D54:D63)</f>
        <v>162575.38821999999</v>
      </c>
      <c r="E64" s="21">
        <f t="shared" ref="E64" si="5">SUM(E54:E63)</f>
        <v>21134.800468599999</v>
      </c>
      <c r="F64" s="21">
        <f>SUM(F54:F63)</f>
        <v>49097.767242439993</v>
      </c>
      <c r="G64" s="21">
        <f>SUM(G54:G63)</f>
        <v>141440.58775140002</v>
      </c>
      <c r="I64" s="140"/>
      <c r="J64" s="140"/>
      <c r="M64" s="140"/>
    </row>
    <row r="65" spans="1:244" x14ac:dyDescent="0.25">
      <c r="I65" s="140"/>
    </row>
    <row r="66" spans="1:244" x14ac:dyDescent="0.25">
      <c r="A66" s="182" t="s">
        <v>187</v>
      </c>
      <c r="B66" s="182"/>
      <c r="C66" s="182"/>
      <c r="D66" s="182"/>
      <c r="E66" s="182"/>
      <c r="F66" s="182"/>
      <c r="H66"/>
      <c r="I66" s="3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</row>
    <row r="68" spans="1:244" ht="30" x14ac:dyDescent="0.2">
      <c r="A68" s="121" t="s">
        <v>168</v>
      </c>
      <c r="B68" s="122" t="s">
        <v>169</v>
      </c>
      <c r="C68" s="101" t="s">
        <v>170</v>
      </c>
      <c r="D68" s="123" t="s">
        <v>171</v>
      </c>
      <c r="E68" s="123" t="s">
        <v>172</v>
      </c>
      <c r="F68" s="19" t="s">
        <v>173</v>
      </c>
      <c r="G68" s="124" t="s">
        <v>174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</row>
    <row r="69" spans="1:244" x14ac:dyDescent="0.25">
      <c r="A69" s="125" t="s">
        <v>18</v>
      </c>
      <c r="B69" s="12" t="s">
        <v>175</v>
      </c>
      <c r="C69" s="21">
        <v>4000</v>
      </c>
      <c r="D69" s="21">
        <v>23870</v>
      </c>
      <c r="E69" s="21">
        <f>D69*13%</f>
        <v>3103.1</v>
      </c>
      <c r="F69" s="21">
        <f>D69*30.2%</f>
        <v>7208.74</v>
      </c>
      <c r="G69" s="126">
        <f>D69-E69</f>
        <v>20766.900000000001</v>
      </c>
      <c r="H69" s="3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</row>
    <row r="70" spans="1:244" x14ac:dyDescent="0.25">
      <c r="A70" s="125" t="s">
        <v>19</v>
      </c>
      <c r="B70" s="17" t="s">
        <v>176</v>
      </c>
      <c r="C70" s="21">
        <v>4800</v>
      </c>
      <c r="D70" s="21">
        <v>26400</v>
      </c>
      <c r="E70" s="21">
        <f>D70*13%</f>
        <v>3432</v>
      </c>
      <c r="F70" s="21">
        <f>D70*30.2%</f>
        <v>7972.8</v>
      </c>
      <c r="G70" s="126">
        <f>D70-E70</f>
        <v>22968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</row>
    <row r="71" spans="1:244" x14ac:dyDescent="0.25">
      <c r="A71" s="125" t="s">
        <v>20</v>
      </c>
      <c r="B71" s="17" t="s">
        <v>177</v>
      </c>
      <c r="C71" s="21">
        <v>2700</v>
      </c>
      <c r="D71" s="21">
        <v>19550</v>
      </c>
      <c r="E71" s="21">
        <f>D71*13%</f>
        <v>2541.5</v>
      </c>
      <c r="F71" s="21">
        <f>D71*30.2%</f>
        <v>5904.0999999999995</v>
      </c>
      <c r="G71" s="126">
        <f>D71-E71</f>
        <v>17008.5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</row>
    <row r="72" spans="1:244" x14ac:dyDescent="0.25">
      <c r="A72" s="125" t="s">
        <v>21</v>
      </c>
      <c r="B72" s="17" t="s">
        <v>178</v>
      </c>
      <c r="C72" s="21">
        <v>900</v>
      </c>
      <c r="D72" s="21">
        <v>5524.7182199999997</v>
      </c>
      <c r="E72" s="21">
        <f>D72*13%</f>
        <v>718.21336859999997</v>
      </c>
      <c r="F72" s="21">
        <f t="shared" ref="F72:F78" si="6">D72*30.2%</f>
        <v>1668.4649024399998</v>
      </c>
      <c r="G72" s="126">
        <f t="shared" ref="G72:G76" si="7">D72-E72</f>
        <v>4806.5048514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</row>
    <row r="73" spans="1:244" x14ac:dyDescent="0.25">
      <c r="A73" s="125" t="s">
        <v>23</v>
      </c>
      <c r="B73" s="12" t="s">
        <v>179</v>
      </c>
      <c r="C73" s="21">
        <v>2300</v>
      </c>
      <c r="D73" s="21">
        <v>12650.000000000002</v>
      </c>
      <c r="E73" s="21">
        <f t="shared" ref="E73:E74" si="8">D73*13%</f>
        <v>1644.5000000000002</v>
      </c>
      <c r="F73" s="21">
        <f t="shared" si="6"/>
        <v>3820.3000000000006</v>
      </c>
      <c r="G73" s="126">
        <f t="shared" si="7"/>
        <v>11005.500000000002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</row>
    <row r="74" spans="1:244" x14ac:dyDescent="0.25">
      <c r="A74" s="125" t="s">
        <v>25</v>
      </c>
      <c r="B74" s="17" t="s">
        <v>180</v>
      </c>
      <c r="C74" s="21">
        <v>1500</v>
      </c>
      <c r="D74" s="21">
        <v>8951.25</v>
      </c>
      <c r="E74" s="21">
        <f t="shared" si="8"/>
        <v>1163.6625000000001</v>
      </c>
      <c r="F74" s="21">
        <f t="shared" si="6"/>
        <v>2703.2774999999997</v>
      </c>
      <c r="G74" s="126">
        <f t="shared" si="7"/>
        <v>7787.5874999999996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</row>
    <row r="75" spans="1:244" x14ac:dyDescent="0.25">
      <c r="A75" s="125" t="s">
        <v>27</v>
      </c>
      <c r="B75" s="17" t="s">
        <v>181</v>
      </c>
      <c r="C75" s="21">
        <v>2100</v>
      </c>
      <c r="D75" s="21">
        <v>12124.71</v>
      </c>
      <c r="E75" s="21">
        <f>D75*13%</f>
        <v>1576.2122999999999</v>
      </c>
      <c r="F75" s="21">
        <f t="shared" si="6"/>
        <v>3661.6624199999997</v>
      </c>
      <c r="G75" s="126">
        <f t="shared" si="7"/>
        <v>10548.4977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</row>
    <row r="76" spans="1:244" x14ac:dyDescent="0.25">
      <c r="A76" s="125" t="s">
        <v>29</v>
      </c>
      <c r="B76" s="17" t="s">
        <v>181</v>
      </c>
      <c r="C76" s="21">
        <v>2100</v>
      </c>
      <c r="D76" s="21">
        <v>12124.71</v>
      </c>
      <c r="E76" s="21">
        <f>D76*13%</f>
        <v>1576.2122999999999</v>
      </c>
      <c r="F76" s="21">
        <f t="shared" si="6"/>
        <v>3661.6624199999997</v>
      </c>
      <c r="G76" s="126">
        <f t="shared" si="7"/>
        <v>10548.4977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</row>
    <row r="77" spans="1:244" x14ac:dyDescent="0.25">
      <c r="A77" s="125" t="s">
        <v>30</v>
      </c>
      <c r="B77" s="12" t="s">
        <v>182</v>
      </c>
      <c r="C77" s="21">
        <v>2200</v>
      </c>
      <c r="D77" s="21">
        <v>14061.499</v>
      </c>
      <c r="E77" s="21">
        <f>D77*13%</f>
        <v>1827.99487</v>
      </c>
      <c r="F77" s="21">
        <f t="shared" si="6"/>
        <v>4246.5726979999999</v>
      </c>
      <c r="G77" s="126">
        <f>D77-E77</f>
        <v>12233.504129999999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</row>
    <row r="78" spans="1:244" x14ac:dyDescent="0.25">
      <c r="A78" s="125" t="s">
        <v>32</v>
      </c>
      <c r="B78" s="12" t="s">
        <v>182</v>
      </c>
      <c r="C78" s="21">
        <v>2200</v>
      </c>
      <c r="D78" s="21">
        <v>14061.499</v>
      </c>
      <c r="E78" s="21">
        <f t="shared" ref="E78" si="9">D78*13%</f>
        <v>1827.99487</v>
      </c>
      <c r="F78" s="21">
        <f t="shared" si="6"/>
        <v>4246.5726979999999</v>
      </c>
      <c r="G78" s="126">
        <f>D78-E78</f>
        <v>12233.504129999999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</row>
    <row r="79" spans="1:244" x14ac:dyDescent="0.25">
      <c r="A79" s="183" t="s">
        <v>183</v>
      </c>
      <c r="B79" s="184"/>
      <c r="C79" s="21">
        <f>SUM(C69:C78)</f>
        <v>24800</v>
      </c>
      <c r="D79" s="21">
        <f>SUM(D69:D78)</f>
        <v>149318.38622000001</v>
      </c>
      <c r="E79" s="21">
        <f t="shared" ref="E79" si="10">SUM(E69:E78)</f>
        <v>19411.390208599998</v>
      </c>
      <c r="F79" s="21">
        <f>SUM(F69:F78)</f>
        <v>45094.152638440006</v>
      </c>
      <c r="G79" s="21">
        <f>SUM(G69:G78)</f>
        <v>129906.99601140001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</row>
    <row r="81" spans="1:244" x14ac:dyDescent="0.25">
      <c r="A81" s="182" t="s">
        <v>184</v>
      </c>
      <c r="B81" s="182"/>
      <c r="C81" s="182"/>
      <c r="D81" s="182"/>
      <c r="E81" s="182"/>
      <c r="F81" s="182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</row>
    <row r="83" spans="1:244" ht="30" x14ac:dyDescent="0.2">
      <c r="A83" s="121" t="s">
        <v>168</v>
      </c>
      <c r="B83" s="122" t="s">
        <v>169</v>
      </c>
      <c r="C83" s="101" t="s">
        <v>170</v>
      </c>
      <c r="D83" s="123" t="s">
        <v>171</v>
      </c>
      <c r="E83" s="123" t="s">
        <v>172</v>
      </c>
      <c r="F83" s="19" t="s">
        <v>173</v>
      </c>
      <c r="G83" s="124" t="s">
        <v>174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</row>
    <row r="84" spans="1:244" x14ac:dyDescent="0.25">
      <c r="A84" s="125" t="s">
        <v>18</v>
      </c>
      <c r="B84" s="12" t="s">
        <v>175</v>
      </c>
      <c r="C84" s="21">
        <v>4000</v>
      </c>
      <c r="D84" s="21">
        <v>26257</v>
      </c>
      <c r="E84" s="21">
        <f>D84*13%</f>
        <v>3413.4100000000003</v>
      </c>
      <c r="F84" s="21">
        <f>D84*30.2%</f>
        <v>7929.6139999999996</v>
      </c>
      <c r="G84" s="129">
        <f>D84-E84</f>
        <v>22843.59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</row>
    <row r="85" spans="1:244" x14ac:dyDescent="0.25">
      <c r="A85" s="125" t="s">
        <v>19</v>
      </c>
      <c r="B85" s="17" t="s">
        <v>176</v>
      </c>
      <c r="C85" s="21">
        <v>4800</v>
      </c>
      <c r="D85" s="21">
        <v>29040</v>
      </c>
      <c r="E85" s="21">
        <f>D85*13%</f>
        <v>3775.2000000000003</v>
      </c>
      <c r="F85" s="21">
        <f>D85*30.2%</f>
        <v>8770.08</v>
      </c>
      <c r="G85" s="129">
        <f>D85-E85</f>
        <v>25264.799999999999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</row>
    <row r="86" spans="1:244" x14ac:dyDescent="0.25">
      <c r="A86" s="125" t="s">
        <v>20</v>
      </c>
      <c r="B86" s="17" t="s">
        <v>177</v>
      </c>
      <c r="C86" s="21">
        <v>2700</v>
      </c>
      <c r="D86" s="21">
        <v>19550</v>
      </c>
      <c r="E86" s="21">
        <f>D86*13%</f>
        <v>2541.5</v>
      </c>
      <c r="F86" s="21">
        <f>D86*30.2%</f>
        <v>5904.0999999999995</v>
      </c>
      <c r="G86" s="129">
        <f>D86-E86</f>
        <v>17008.5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</row>
    <row r="87" spans="1:244" x14ac:dyDescent="0.25">
      <c r="A87" s="125" t="s">
        <v>21</v>
      </c>
      <c r="B87" s="17" t="s">
        <v>178</v>
      </c>
      <c r="C87" s="21">
        <v>900</v>
      </c>
      <c r="D87" s="21">
        <v>5524.7182199999997</v>
      </c>
      <c r="E87" s="21">
        <f>D87*13%</f>
        <v>718.21336859999997</v>
      </c>
      <c r="F87" s="21">
        <f t="shared" ref="F87:F92" si="11">D87*30.2%</f>
        <v>1668.4649024399998</v>
      </c>
      <c r="G87" s="129">
        <f t="shared" ref="G87:G89" si="12">D87-E87</f>
        <v>4806.5048514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</row>
    <row r="88" spans="1:244" x14ac:dyDescent="0.25">
      <c r="A88" s="125" t="s">
        <v>23</v>
      </c>
      <c r="B88" s="12" t="s">
        <v>179</v>
      </c>
      <c r="C88" s="21">
        <v>2300</v>
      </c>
      <c r="D88" s="21">
        <v>12650.000000000002</v>
      </c>
      <c r="E88" s="21">
        <f t="shared" ref="E88:E89" si="13">D88*13%</f>
        <v>1644.5000000000002</v>
      </c>
      <c r="F88" s="21">
        <f t="shared" si="11"/>
        <v>3820.3000000000006</v>
      </c>
      <c r="G88" s="129">
        <f t="shared" si="12"/>
        <v>11005.500000000002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</row>
    <row r="89" spans="1:244" x14ac:dyDescent="0.25">
      <c r="A89" s="125" t="s">
        <v>25</v>
      </c>
      <c r="B89" s="17" t="s">
        <v>180</v>
      </c>
      <c r="C89" s="21">
        <v>1500</v>
      </c>
      <c r="D89" s="21">
        <v>8951.25</v>
      </c>
      <c r="E89" s="21">
        <f t="shared" si="13"/>
        <v>1163.6625000000001</v>
      </c>
      <c r="F89" s="21">
        <f t="shared" si="11"/>
        <v>2703.2774999999997</v>
      </c>
      <c r="G89" s="129">
        <f t="shared" si="12"/>
        <v>7787.5874999999996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</row>
    <row r="90" spans="1:244" x14ac:dyDescent="0.25">
      <c r="A90" s="125" t="s">
        <v>27</v>
      </c>
      <c r="B90" s="17" t="s">
        <v>181</v>
      </c>
      <c r="C90" s="21">
        <v>2100</v>
      </c>
      <c r="D90" s="21">
        <v>13942.53</v>
      </c>
      <c r="E90" s="21">
        <f>D90*13%</f>
        <v>1812.5289000000002</v>
      </c>
      <c r="F90" s="21">
        <f>D90*30.2%</f>
        <v>4210.6440599999996</v>
      </c>
      <c r="G90" s="129">
        <f>D90-E90</f>
        <v>12130.001100000001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</row>
    <row r="91" spans="1:244" x14ac:dyDescent="0.25">
      <c r="A91" s="125" t="s">
        <v>29</v>
      </c>
      <c r="B91" s="17" t="s">
        <v>181</v>
      </c>
      <c r="C91" s="21">
        <v>2100</v>
      </c>
      <c r="D91" s="21">
        <v>13942.53</v>
      </c>
      <c r="E91" s="21">
        <f>D91*13%</f>
        <v>1812.5289000000002</v>
      </c>
      <c r="F91" s="21">
        <f t="shared" si="11"/>
        <v>4210.6440599999996</v>
      </c>
      <c r="G91" s="129">
        <f>D91-E91</f>
        <v>12130.001100000001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</row>
    <row r="92" spans="1:244" x14ac:dyDescent="0.25">
      <c r="A92" s="125" t="s">
        <v>30</v>
      </c>
      <c r="B92" s="12" t="s">
        <v>182</v>
      </c>
      <c r="C92" s="21">
        <v>2200</v>
      </c>
      <c r="D92" s="21">
        <v>14061.499</v>
      </c>
      <c r="E92" s="21">
        <f>D92*13%</f>
        <v>1827.99487</v>
      </c>
      <c r="F92" s="21">
        <f t="shared" si="11"/>
        <v>4246.5726979999999</v>
      </c>
      <c r="G92" s="129">
        <f>D92-E92</f>
        <v>12233.504129999999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</row>
    <row r="93" spans="1:244" x14ac:dyDescent="0.25">
      <c r="A93" s="125" t="s">
        <v>32</v>
      </c>
      <c r="B93" s="12" t="s">
        <v>182</v>
      </c>
      <c r="C93" s="21">
        <v>2200</v>
      </c>
      <c r="D93" s="21">
        <v>14061.499</v>
      </c>
      <c r="E93" s="21">
        <f t="shared" ref="E93" si="14">D93*13%</f>
        <v>1827.99487</v>
      </c>
      <c r="F93" s="21">
        <f>D93*30.2%</f>
        <v>4246.5726979999999</v>
      </c>
      <c r="G93" s="129">
        <f>D93-E93</f>
        <v>12233.504129999999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</row>
    <row r="94" spans="1:244" x14ac:dyDescent="0.25">
      <c r="A94" s="183" t="s">
        <v>183</v>
      </c>
      <c r="B94" s="184"/>
      <c r="C94" s="21">
        <f>SUM(C84:C93)</f>
        <v>24800</v>
      </c>
      <c r="D94" s="21">
        <f>SUM(D84:D93)</f>
        <v>157981.02622</v>
      </c>
      <c r="E94" s="21">
        <f t="shared" ref="E94" si="15">SUM(E84:E93)</f>
        <v>20537.5334086</v>
      </c>
      <c r="F94" s="21">
        <f>SUM(F84:F93)</f>
        <v>47710.269918439997</v>
      </c>
      <c r="G94" s="30">
        <f>SUM(G84:G93)</f>
        <v>137443.49281139998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</row>
    <row r="96" spans="1:244" x14ac:dyDescent="0.25">
      <c r="A96" s="182" t="s">
        <v>185</v>
      </c>
      <c r="B96" s="182"/>
      <c r="C96" s="182"/>
      <c r="D96" s="182"/>
      <c r="E96" s="182"/>
      <c r="F96" s="182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</row>
    <row r="98" spans="1:244" ht="30" x14ac:dyDescent="0.2">
      <c r="A98" s="121" t="s">
        <v>168</v>
      </c>
      <c r="B98" s="122" t="s">
        <v>169</v>
      </c>
      <c r="C98" s="101" t="s">
        <v>170</v>
      </c>
      <c r="D98" s="123" t="s">
        <v>171</v>
      </c>
      <c r="E98" s="123" t="s">
        <v>172</v>
      </c>
      <c r="F98" s="19" t="s">
        <v>173</v>
      </c>
      <c r="G98" s="124" t="s">
        <v>174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</row>
    <row r="99" spans="1:244" x14ac:dyDescent="0.25">
      <c r="A99" s="125" t="s">
        <v>18</v>
      </c>
      <c r="B99" s="12" t="s">
        <v>175</v>
      </c>
      <c r="C99" s="21">
        <v>4000</v>
      </c>
      <c r="D99" s="21">
        <v>26257</v>
      </c>
      <c r="E99" s="21">
        <f>D99*13%</f>
        <v>3413.4100000000003</v>
      </c>
      <c r="F99" s="21">
        <f>D99*30.2%</f>
        <v>7929.6139999999996</v>
      </c>
      <c r="G99" s="129">
        <f>D99-E99</f>
        <v>22843.59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</row>
    <row r="100" spans="1:244" x14ac:dyDescent="0.25">
      <c r="A100" s="125" t="s">
        <v>19</v>
      </c>
      <c r="B100" s="17" t="s">
        <v>176</v>
      </c>
      <c r="C100" s="21">
        <v>4800</v>
      </c>
      <c r="D100" s="21">
        <v>29040</v>
      </c>
      <c r="E100" s="21">
        <f>D100*13%</f>
        <v>3775.2000000000003</v>
      </c>
      <c r="F100" s="21">
        <f>D100*30.2%</f>
        <v>8770.08</v>
      </c>
      <c r="G100" s="129">
        <f>D100-E100</f>
        <v>25264.799999999999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</row>
    <row r="101" spans="1:244" x14ac:dyDescent="0.25">
      <c r="A101" s="125" t="s">
        <v>20</v>
      </c>
      <c r="B101" s="17" t="s">
        <v>177</v>
      </c>
      <c r="C101" s="21">
        <v>2700</v>
      </c>
      <c r="D101" s="21">
        <v>19550</v>
      </c>
      <c r="E101" s="21">
        <f>D101*13%</f>
        <v>2541.5</v>
      </c>
      <c r="F101" s="21">
        <f>D101*30.2%</f>
        <v>5904.0999999999995</v>
      </c>
      <c r="G101" s="129">
        <f>D101-E101</f>
        <v>17008.5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</row>
    <row r="102" spans="1:244" x14ac:dyDescent="0.25">
      <c r="A102" s="125" t="s">
        <v>21</v>
      </c>
      <c r="B102" s="17" t="s">
        <v>178</v>
      </c>
      <c r="C102" s="21">
        <v>900</v>
      </c>
      <c r="D102" s="21">
        <v>5524.7182199999997</v>
      </c>
      <c r="E102" s="21">
        <f>D102*13%</f>
        <v>718.21336859999997</v>
      </c>
      <c r="F102" s="21">
        <f t="shared" ref="F102:F108" si="16">D102*30.2%</f>
        <v>1668.4649024399998</v>
      </c>
      <c r="G102" s="129">
        <f t="shared" ref="G102:G106" si="17">D102-E102</f>
        <v>4806.5048514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</row>
    <row r="103" spans="1:244" x14ac:dyDescent="0.25">
      <c r="A103" s="125" t="s">
        <v>23</v>
      </c>
      <c r="B103" s="12" t="s">
        <v>179</v>
      </c>
      <c r="C103" s="21">
        <v>2300</v>
      </c>
      <c r="D103" s="21">
        <v>12650.000000000002</v>
      </c>
      <c r="E103" s="21">
        <f t="shared" ref="E103:E104" si="18">D103*13%</f>
        <v>1644.5000000000002</v>
      </c>
      <c r="F103" s="21">
        <f t="shared" si="16"/>
        <v>3820.3000000000006</v>
      </c>
      <c r="G103" s="129">
        <f t="shared" si="17"/>
        <v>11005.500000000002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</row>
    <row r="104" spans="1:244" x14ac:dyDescent="0.25">
      <c r="A104" s="125" t="s">
        <v>25</v>
      </c>
      <c r="B104" s="17" t="s">
        <v>180</v>
      </c>
      <c r="C104" s="21">
        <v>1500</v>
      </c>
      <c r="D104" s="21">
        <v>8951.25</v>
      </c>
      <c r="E104" s="21">
        <f t="shared" si="18"/>
        <v>1163.6625000000001</v>
      </c>
      <c r="F104" s="21">
        <f t="shared" si="16"/>
        <v>2703.2774999999997</v>
      </c>
      <c r="G104" s="129">
        <f t="shared" si="17"/>
        <v>7787.5874999999996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</row>
    <row r="105" spans="1:244" x14ac:dyDescent="0.25">
      <c r="A105" s="125" t="s">
        <v>27</v>
      </c>
      <c r="B105" s="17" t="s">
        <v>181</v>
      </c>
      <c r="C105" s="21">
        <v>2100</v>
      </c>
      <c r="D105" s="21">
        <v>13942.53</v>
      </c>
      <c r="E105" s="21">
        <f>D105*13%</f>
        <v>1812.5289000000002</v>
      </c>
      <c r="F105" s="21">
        <f t="shared" si="16"/>
        <v>4210.6440599999996</v>
      </c>
      <c r="G105" s="129">
        <f t="shared" si="17"/>
        <v>12130.001100000001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</row>
    <row r="106" spans="1:244" x14ac:dyDescent="0.25">
      <c r="A106" s="125" t="s">
        <v>29</v>
      </c>
      <c r="B106" s="17" t="s">
        <v>181</v>
      </c>
      <c r="C106" s="21">
        <v>2100</v>
      </c>
      <c r="D106" s="21">
        <v>13942.53</v>
      </c>
      <c r="E106" s="21">
        <f>D106*13%</f>
        <v>1812.5289000000002</v>
      </c>
      <c r="F106" s="21">
        <f t="shared" si="16"/>
        <v>4210.6440599999996</v>
      </c>
      <c r="G106" s="129">
        <f t="shared" si="17"/>
        <v>12130.001100000001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</row>
    <row r="107" spans="1:244" x14ac:dyDescent="0.25">
      <c r="A107" s="125" t="s">
        <v>30</v>
      </c>
      <c r="B107" s="12" t="s">
        <v>182</v>
      </c>
      <c r="C107" s="21">
        <v>2200</v>
      </c>
      <c r="D107" s="21">
        <v>20690</v>
      </c>
      <c r="E107" s="21">
        <f>D107*13%</f>
        <v>2689.7000000000003</v>
      </c>
      <c r="F107" s="21">
        <f t="shared" si="16"/>
        <v>6248.38</v>
      </c>
      <c r="G107" s="129">
        <f>D107-E107</f>
        <v>18000.3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</row>
    <row r="108" spans="1:244" x14ac:dyDescent="0.25">
      <c r="A108" s="125" t="s">
        <v>32</v>
      </c>
      <c r="B108" s="12" t="s">
        <v>182</v>
      </c>
      <c r="C108" s="21">
        <v>2200</v>
      </c>
      <c r="D108" s="21">
        <v>20690</v>
      </c>
      <c r="E108" s="21">
        <f t="shared" ref="E108" si="19">D108*13%</f>
        <v>2689.7000000000003</v>
      </c>
      <c r="F108" s="21">
        <f t="shared" si="16"/>
        <v>6248.38</v>
      </c>
      <c r="G108" s="129">
        <f>D108-E108</f>
        <v>18000.3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</row>
    <row r="109" spans="1:244" x14ac:dyDescent="0.25">
      <c r="A109" s="183" t="s">
        <v>183</v>
      </c>
      <c r="B109" s="184"/>
      <c r="C109" s="21">
        <f>SUM(C99:C108)</f>
        <v>24800</v>
      </c>
      <c r="D109" s="21">
        <f>SUM(D99:D108)</f>
        <v>171238.02821999998</v>
      </c>
      <c r="E109" s="21">
        <f>SUM(E99:E108)</f>
        <v>22260.943668600004</v>
      </c>
      <c r="F109" s="21">
        <f>SUM(F99:F108)</f>
        <v>51713.884522439992</v>
      </c>
      <c r="G109" s="30">
        <f>SUM(G99:G108)</f>
        <v>148977.08455139998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</row>
    <row r="111" spans="1:244" x14ac:dyDescent="0.25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</row>
  </sheetData>
  <mergeCells count="26">
    <mergeCell ref="A96:F96"/>
    <mergeCell ref="A109:B109"/>
    <mergeCell ref="A51:F51"/>
    <mergeCell ref="A64:B64"/>
    <mergeCell ref="A66:F66"/>
    <mergeCell ref="A79:B79"/>
    <mergeCell ref="A81:F81"/>
    <mergeCell ref="A94:B94"/>
    <mergeCell ref="A49:F49"/>
    <mergeCell ref="F11:F12"/>
    <mergeCell ref="D13:D14"/>
    <mergeCell ref="E13:E14"/>
    <mergeCell ref="F13:F14"/>
    <mergeCell ref="A15:F15"/>
    <mergeCell ref="F17:F29"/>
    <mergeCell ref="D11:E12"/>
    <mergeCell ref="A39:F39"/>
    <mergeCell ref="F42:G42"/>
    <mergeCell ref="A43:A44"/>
    <mergeCell ref="F43:G43"/>
    <mergeCell ref="A45:A46"/>
    <mergeCell ref="A7:B7"/>
    <mergeCell ref="A8:B8"/>
    <mergeCell ref="A9:B9"/>
    <mergeCell ref="A11:A14"/>
    <mergeCell ref="B11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93"/>
  <sheetViews>
    <sheetView topLeftCell="A10" workbookViewId="0">
      <selection activeCell="F41" sqref="F41"/>
    </sheetView>
  </sheetViews>
  <sheetFormatPr defaultRowHeight="15" outlineLevelRow="1" x14ac:dyDescent="0.25"/>
  <cols>
    <col min="1" max="1" width="5.7109375" style="127" customWidth="1"/>
    <col min="2" max="2" width="31.7109375" style="79" customWidth="1"/>
    <col min="3" max="3" width="9.28515625" style="79" hidden="1" customWidth="1"/>
    <col min="4" max="4" width="11.42578125" style="80" customWidth="1"/>
    <col min="5" max="5" width="11.7109375" style="80" customWidth="1"/>
    <col min="6" max="6" width="10.28515625" style="98" customWidth="1"/>
    <col min="7" max="7" width="10.28515625" style="79" customWidth="1"/>
    <col min="8" max="9" width="9.28515625" style="79" customWidth="1"/>
    <col min="10" max="15" width="9.28515625" style="79" hidden="1" customWidth="1"/>
    <col min="16" max="122" width="9.28515625" style="79" customWidth="1"/>
    <col min="123" max="244" width="9.28515625" style="120" customWidth="1"/>
    <col min="245" max="1012" width="9.28515625" customWidth="1"/>
  </cols>
  <sheetData>
    <row r="1" spans="1:244" x14ac:dyDescent="0.25">
      <c r="A1" s="78"/>
      <c r="E1" s="81"/>
      <c r="F1" s="8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x14ac:dyDescent="0.25">
      <c r="A2" s="78"/>
      <c r="E2" s="81"/>
      <c r="F2" s="8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5.25" customHeight="1" x14ac:dyDescent="0.25">
      <c r="A3" s="78"/>
      <c r="E3" s="81"/>
      <c r="F3" s="8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x14ac:dyDescent="0.25">
      <c r="A4" s="78"/>
      <c r="B4" s="78" t="s">
        <v>150</v>
      </c>
      <c r="E4" s="81"/>
      <c r="F4" s="8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x14ac:dyDescent="0.25">
      <c r="A5" s="78"/>
      <c r="B5" s="81" t="s">
        <v>206</v>
      </c>
      <c r="E5" s="81"/>
      <c r="F5" s="8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3.75" customHeight="1" x14ac:dyDescent="0.25">
      <c r="A6" s="78"/>
      <c r="B6" s="81"/>
      <c r="E6" s="81"/>
      <c r="F6" s="8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6.5" customHeight="1" x14ac:dyDescent="0.25">
      <c r="A7" s="168" t="s">
        <v>152</v>
      </c>
      <c r="B7" s="168"/>
      <c r="C7" s="83"/>
      <c r="D7" s="84">
        <v>12836.4</v>
      </c>
      <c r="E7" s="85" t="s">
        <v>5</v>
      </c>
      <c r="F7" s="8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6.5" hidden="1" customHeight="1" x14ac:dyDescent="0.25">
      <c r="A8" s="168" t="s">
        <v>6</v>
      </c>
      <c r="B8" s="168"/>
      <c r="C8" s="83"/>
      <c r="D8" s="87">
        <v>269</v>
      </c>
      <c r="E8" s="85" t="s">
        <v>7</v>
      </c>
      <c r="F8" s="8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15" customHeight="1" x14ac:dyDescent="0.25">
      <c r="A9" s="168" t="s">
        <v>8</v>
      </c>
      <c r="B9" s="168"/>
      <c r="C9" s="88"/>
      <c r="D9" s="85">
        <v>249</v>
      </c>
      <c r="E9" s="85" t="s">
        <v>9</v>
      </c>
      <c r="F9" s="8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3" customHeight="1" x14ac:dyDescent="0.25">
      <c r="A10" s="90"/>
      <c r="B10" s="88"/>
      <c r="C10" s="88"/>
      <c r="D10" s="91"/>
      <c r="E10" s="91"/>
      <c r="F10" s="9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s="93" customFormat="1" ht="15" customHeight="1" x14ac:dyDescent="0.25">
      <c r="A11" s="171" t="s">
        <v>10</v>
      </c>
      <c r="B11" s="172" t="s">
        <v>11</v>
      </c>
      <c r="C11" s="10"/>
      <c r="D11" s="175" t="s">
        <v>15</v>
      </c>
      <c r="E11" s="175"/>
      <c r="F11" s="174" t="s">
        <v>207</v>
      </c>
    </row>
    <row r="12" spans="1:244" s="93" customFormat="1" ht="15" customHeight="1" x14ac:dyDescent="0.25">
      <c r="A12" s="171"/>
      <c r="B12" s="172"/>
      <c r="C12" s="10"/>
      <c r="D12" s="175"/>
      <c r="E12" s="175"/>
      <c r="F12" s="174"/>
    </row>
    <row r="13" spans="1:244" s="93" customFormat="1" ht="12.75" customHeight="1" x14ac:dyDescent="0.25">
      <c r="A13" s="171"/>
      <c r="B13" s="172"/>
      <c r="C13" s="10"/>
      <c r="D13" s="175" t="s">
        <v>16</v>
      </c>
      <c r="E13" s="172" t="s">
        <v>17</v>
      </c>
      <c r="F13" s="176" t="s">
        <v>154</v>
      </c>
    </row>
    <row r="14" spans="1:244" s="93" customFormat="1" ht="12.75" customHeight="1" x14ac:dyDescent="0.25">
      <c r="A14" s="171"/>
      <c r="B14" s="172"/>
      <c r="C14" s="10"/>
      <c r="D14" s="175"/>
      <c r="E14" s="172"/>
      <c r="F14" s="176"/>
    </row>
    <row r="15" spans="1:244" ht="21" customHeight="1" x14ac:dyDescent="0.25">
      <c r="A15" s="177" t="s">
        <v>155</v>
      </c>
      <c r="B15" s="177"/>
      <c r="C15" s="177"/>
      <c r="D15" s="177"/>
      <c r="E15" s="177"/>
      <c r="F15" s="17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21" customHeight="1" x14ac:dyDescent="0.25">
      <c r="A16" s="132"/>
      <c r="B16" s="132"/>
      <c r="C16" s="132"/>
      <c r="D16" s="94">
        <f>E16/12</f>
        <v>608400.59409456572</v>
      </c>
      <c r="E16" s="95">
        <f>E17+E31+E32+E33+E34+E35+E36</f>
        <v>7300807.1291347891</v>
      </c>
      <c r="F16" s="13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s="93" customFormat="1" ht="26.25" customHeight="1" x14ac:dyDescent="0.25">
      <c r="A17" s="96">
        <v>1</v>
      </c>
      <c r="B17" s="11" t="s">
        <v>45</v>
      </c>
      <c r="C17" s="12"/>
      <c r="D17" s="94">
        <f t="shared" ref="D17:D25" si="0">E17/12</f>
        <v>319885.71924943995</v>
      </c>
      <c r="E17" s="150">
        <f>E18+E19+E20+E21+E22+E23+E24+E25+E30</f>
        <v>3838628.6309932796</v>
      </c>
      <c r="F17" s="185">
        <f>E17/12/D7</f>
        <v>24.920204983440836</v>
      </c>
    </row>
    <row r="18" spans="1:244" ht="15.75" customHeight="1" x14ac:dyDescent="0.25">
      <c r="A18" s="13" t="s">
        <v>66</v>
      </c>
      <c r="B18" s="52" t="s">
        <v>201</v>
      </c>
      <c r="C18" s="141"/>
      <c r="D18" s="142">
        <f t="shared" si="0"/>
        <v>10000</v>
      </c>
      <c r="E18" s="143">
        <f>'Смета 22 '!G58</f>
        <v>120000</v>
      </c>
      <c r="F18" s="18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x14ac:dyDescent="0.25">
      <c r="A19" s="13" t="s">
        <v>67</v>
      </c>
      <c r="B19" s="52" t="s">
        <v>68</v>
      </c>
      <c r="C19" s="141"/>
      <c r="D19" s="142">
        <f t="shared" si="0"/>
        <v>8346.6666666666661</v>
      </c>
      <c r="E19" s="143">
        <f>'Смета 22 '!G59</f>
        <v>100160</v>
      </c>
      <c r="F19" s="186"/>
      <c r="H19"/>
      <c r="I19" s="14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x14ac:dyDescent="0.25">
      <c r="A20" s="13" t="s">
        <v>74</v>
      </c>
      <c r="B20" s="52" t="s">
        <v>75</v>
      </c>
      <c r="C20" s="141"/>
      <c r="D20" s="142">
        <f t="shared" si="0"/>
        <v>1155.5833333333333</v>
      </c>
      <c r="E20" s="143">
        <f>'Смета 22 '!G67</f>
        <v>13867</v>
      </c>
      <c r="F20" s="18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30" x14ac:dyDescent="0.25">
      <c r="A21" s="13" t="s">
        <v>79</v>
      </c>
      <c r="B21" s="52" t="s">
        <v>80</v>
      </c>
      <c r="C21" s="141"/>
      <c r="D21" s="142">
        <f t="shared" si="0"/>
        <v>2269.1666666666665</v>
      </c>
      <c r="E21" s="143">
        <f>'Смета 22 '!G70</f>
        <v>27230</v>
      </c>
      <c r="F21" s="186"/>
      <c r="H21"/>
      <c r="I21" s="149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x14ac:dyDescent="0.25">
      <c r="A22" s="13" t="s">
        <v>81</v>
      </c>
      <c r="B22" s="52" t="s">
        <v>82</v>
      </c>
      <c r="C22" s="141"/>
      <c r="D22" s="142">
        <f t="shared" si="0"/>
        <v>2083.3333333333335</v>
      </c>
      <c r="E22" s="143">
        <f>'Смета 22 '!G71</f>
        <v>25000</v>
      </c>
      <c r="F22" s="18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x14ac:dyDescent="0.25">
      <c r="A23" s="13" t="s">
        <v>86</v>
      </c>
      <c r="B23" s="52" t="s">
        <v>87</v>
      </c>
      <c r="C23" s="141"/>
      <c r="D23" s="142">
        <f t="shared" si="0"/>
        <v>13025</v>
      </c>
      <c r="E23" s="143">
        <f>'Смета 22 '!G75</f>
        <v>156300</v>
      </c>
      <c r="F23" s="186"/>
      <c r="G23" s="98"/>
      <c r="H23"/>
      <c r="I23" s="14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6.5" customHeight="1" x14ac:dyDescent="0.25">
      <c r="A24" s="13" t="s">
        <v>92</v>
      </c>
      <c r="B24" s="52" t="s">
        <v>93</v>
      </c>
      <c r="C24" s="141"/>
      <c r="D24" s="142">
        <f t="shared" si="0"/>
        <v>20000</v>
      </c>
      <c r="E24" s="143">
        <f>'Смета 22 '!G84</f>
        <v>240000</v>
      </c>
      <c r="F24" s="18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x14ac:dyDescent="0.25">
      <c r="A25" s="13" t="s">
        <v>98</v>
      </c>
      <c r="B25" s="52" t="s">
        <v>99</v>
      </c>
      <c r="C25" s="141"/>
      <c r="D25" s="142">
        <f t="shared" si="0"/>
        <v>237839.30258277329</v>
      </c>
      <c r="E25" s="143">
        <f>E26+E27+E28+E29</f>
        <v>2854071.6309932796</v>
      </c>
      <c r="F25" s="186"/>
      <c r="H25"/>
      <c r="I25" s="14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x14ac:dyDescent="0.25">
      <c r="A26" s="13" t="s">
        <v>100</v>
      </c>
      <c r="B26" s="52" t="s">
        <v>156</v>
      </c>
      <c r="C26" s="141"/>
      <c r="D26" s="142">
        <f>E26/12</f>
        <v>165692.92338666666</v>
      </c>
      <c r="E26" s="143">
        <f>(D124*2)+(D139*4)+(D155*4)+(D170*2)</f>
        <v>1988315.0806399998</v>
      </c>
      <c r="F26" s="18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5" customHeight="1" x14ac:dyDescent="0.25">
      <c r="A27" s="13" t="s">
        <v>102</v>
      </c>
      <c r="B27" s="52" t="s">
        <v>127</v>
      </c>
      <c r="C27" s="144">
        <v>0.30199999999999999</v>
      </c>
      <c r="D27" s="142">
        <f>E27/12</f>
        <v>49225.295862773339</v>
      </c>
      <c r="E27" s="143">
        <f>(F124*2)+(F139*4)+(F155*4)+(F170*2)</f>
        <v>590703.55035328004</v>
      </c>
      <c r="F27" s="18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45" customHeight="1" x14ac:dyDescent="0.25">
      <c r="A28" s="13" t="s">
        <v>103</v>
      </c>
      <c r="B28" s="52" t="s">
        <v>210</v>
      </c>
      <c r="C28" s="144">
        <v>0.09</v>
      </c>
      <c r="D28" s="142">
        <f>E28/12</f>
        <v>17921.083333333332</v>
      </c>
      <c r="E28" s="143">
        <v>215053</v>
      </c>
      <c r="F28" s="18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45" customHeight="1" x14ac:dyDescent="0.25">
      <c r="A29" s="13" t="s">
        <v>104</v>
      </c>
      <c r="B29" s="52" t="s">
        <v>105</v>
      </c>
      <c r="C29" s="141"/>
      <c r="D29" s="142">
        <f t="shared" ref="D29:D30" si="1">E29/12</f>
        <v>5000</v>
      </c>
      <c r="E29" s="143">
        <f>'Смета 21'!G93</f>
        <v>60000</v>
      </c>
      <c r="F29" s="18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45" customHeight="1" x14ac:dyDescent="0.25">
      <c r="A30" s="13" t="s">
        <v>230</v>
      </c>
      <c r="B30" s="52" t="s">
        <v>216</v>
      </c>
      <c r="C30" s="141"/>
      <c r="D30" s="142">
        <f t="shared" si="1"/>
        <v>25166.666666666668</v>
      </c>
      <c r="E30" s="143">
        <f>'Смета 22 '!G92</f>
        <v>302000</v>
      </c>
      <c r="F30" s="187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93" customFormat="1" ht="14.45" customHeight="1" x14ac:dyDescent="0.25">
      <c r="A31" s="96" t="s">
        <v>19</v>
      </c>
      <c r="B31" s="41" t="s">
        <v>205</v>
      </c>
      <c r="C31" s="145"/>
      <c r="D31" s="146">
        <f t="shared" ref="D31:D36" si="2">E31/12</f>
        <v>129262.548</v>
      </c>
      <c r="E31" s="146">
        <f>'Смета 22 '!G35</f>
        <v>1551150.5759999999</v>
      </c>
      <c r="F31" s="42">
        <f>D48</f>
        <v>10.07</v>
      </c>
      <c r="G31" s="100"/>
    </row>
    <row r="32" spans="1:244" s="93" customFormat="1" ht="14.45" customHeight="1" x14ac:dyDescent="0.25">
      <c r="A32" s="96" t="s">
        <v>20</v>
      </c>
      <c r="B32" s="66" t="s">
        <v>212</v>
      </c>
      <c r="C32" s="147"/>
      <c r="D32" s="146">
        <f t="shared" si="2"/>
        <v>40583.333333333336</v>
      </c>
      <c r="E32" s="146">
        <f>'Смета 22 '!G109</f>
        <v>487000</v>
      </c>
      <c r="F32" s="42">
        <v>87.19</v>
      </c>
      <c r="G32" s="100"/>
    </row>
    <row r="33" spans="1:244" s="93" customFormat="1" ht="13.9" customHeight="1" x14ac:dyDescent="0.25">
      <c r="A33" s="96" t="s">
        <v>21</v>
      </c>
      <c r="B33" s="66" t="s">
        <v>39</v>
      </c>
      <c r="C33" s="147"/>
      <c r="D33" s="146">
        <f t="shared" si="2"/>
        <v>64450.416666666664</v>
      </c>
      <c r="E33" s="146">
        <v>773405</v>
      </c>
      <c r="F33" s="42">
        <f>D33/D7</f>
        <v>5.0209105875998459</v>
      </c>
      <c r="G33" s="100"/>
    </row>
    <row r="34" spans="1:244" s="93" customFormat="1" ht="14.45" customHeight="1" x14ac:dyDescent="0.25">
      <c r="A34" s="96" t="s">
        <v>23</v>
      </c>
      <c r="B34" s="66" t="s">
        <v>41</v>
      </c>
      <c r="C34" s="51"/>
      <c r="D34" s="146">
        <f t="shared" si="2"/>
        <v>20360</v>
      </c>
      <c r="E34" s="146">
        <f>'Смета 22 '!G111</f>
        <v>244320</v>
      </c>
      <c r="F34" s="42">
        <f>D34/225</f>
        <v>90.488888888888894</v>
      </c>
      <c r="G34" s="100"/>
    </row>
    <row r="35" spans="1:244" s="93" customFormat="1" ht="14.45" customHeight="1" x14ac:dyDescent="0.25">
      <c r="A35" s="96" t="s">
        <v>25</v>
      </c>
      <c r="B35" s="66" t="s">
        <v>43</v>
      </c>
      <c r="C35" s="51"/>
      <c r="D35" s="146">
        <f t="shared" si="2"/>
        <v>9000</v>
      </c>
      <c r="E35" s="146">
        <f>'Смета 22 '!G112</f>
        <v>108000</v>
      </c>
      <c r="F35" s="42">
        <f>D35/D9</f>
        <v>36.144578313253014</v>
      </c>
      <c r="G35" s="100"/>
    </row>
    <row r="36" spans="1:244" s="93" customFormat="1" ht="24" x14ac:dyDescent="0.25">
      <c r="A36" s="96" t="s">
        <v>27</v>
      </c>
      <c r="B36" s="148" t="s">
        <v>159</v>
      </c>
      <c r="C36" s="51"/>
      <c r="D36" s="146">
        <f t="shared" si="2"/>
        <v>24858.57684512575</v>
      </c>
      <c r="E36" s="146">
        <f>'Смета 22 '!G113</f>
        <v>298302.92214150901</v>
      </c>
      <c r="F36" s="42">
        <v>2.6</v>
      </c>
      <c r="G36" s="100"/>
    </row>
    <row r="37" spans="1:244" s="93" customFormat="1" ht="14.45" customHeight="1" x14ac:dyDescent="0.25">
      <c r="A37" s="104"/>
      <c r="B37" s="105"/>
      <c r="C37" s="133"/>
      <c r="D37" s="107"/>
      <c r="E37" s="108"/>
      <c r="F37" s="109"/>
      <c r="G37" s="100"/>
    </row>
    <row r="38" spans="1:244" ht="14.45" customHeight="1" x14ac:dyDescent="0.25">
      <c r="A38" s="110"/>
      <c r="B38" s="110"/>
      <c r="C38" s="110"/>
      <c r="D38" s="111"/>
      <c r="E38" s="111"/>
      <c r="F38" s="110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4.45" customHeight="1" x14ac:dyDescent="0.25">
      <c r="A39" s="179" t="s">
        <v>119</v>
      </c>
      <c r="B39" s="179"/>
      <c r="C39" s="179"/>
      <c r="D39" s="179"/>
      <c r="E39" s="179"/>
      <c r="F39" s="17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4.45" customHeight="1" x14ac:dyDescent="0.25">
      <c r="A40" s="110"/>
      <c r="B40" s="110"/>
      <c r="C40" s="110"/>
      <c r="D40" s="111"/>
      <c r="E40" s="111"/>
      <c r="F40" s="11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38.25" customHeight="1" x14ac:dyDescent="0.25">
      <c r="A41" s="132"/>
      <c r="B41" s="132" t="s">
        <v>160</v>
      </c>
      <c r="C41" s="132" t="s">
        <v>161</v>
      </c>
      <c r="D41" s="132" t="s">
        <v>207</v>
      </c>
      <c r="E41" s="112"/>
      <c r="F41" s="113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4.45" customHeight="1" x14ac:dyDescent="0.25">
      <c r="A42" s="134" t="s">
        <v>18</v>
      </c>
      <c r="B42" s="17" t="s">
        <v>162</v>
      </c>
      <c r="C42" s="16" t="s">
        <v>47</v>
      </c>
      <c r="D42" s="51">
        <v>2.93</v>
      </c>
      <c r="E42" s="115"/>
      <c r="F42" s="180"/>
      <c r="G42" s="180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4.45" customHeight="1" x14ac:dyDescent="0.25">
      <c r="A43" s="181" t="s">
        <v>19</v>
      </c>
      <c r="B43" s="17" t="s">
        <v>163</v>
      </c>
      <c r="C43" s="16" t="s">
        <v>50</v>
      </c>
      <c r="D43" s="42">
        <v>20.350000000000001</v>
      </c>
      <c r="E43" s="116"/>
      <c r="F43" s="180"/>
      <c r="G43" s="18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14.45" customHeight="1" x14ac:dyDescent="0.25">
      <c r="A44" s="181"/>
      <c r="B44" s="17" t="s">
        <v>120</v>
      </c>
      <c r="C44" s="16" t="s">
        <v>50</v>
      </c>
      <c r="D44" s="42">
        <v>15.77</v>
      </c>
      <c r="E44" s="116"/>
      <c r="F44" s="11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14.45" customHeight="1" x14ac:dyDescent="0.25">
      <c r="A45" s="181" t="s">
        <v>20</v>
      </c>
      <c r="B45" s="17" t="s">
        <v>164</v>
      </c>
      <c r="C45" s="16" t="s">
        <v>50</v>
      </c>
      <c r="D45" s="42">
        <v>117.9</v>
      </c>
      <c r="E45" s="116"/>
      <c r="F45" s="11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4.45" customHeight="1" x14ac:dyDescent="0.25">
      <c r="A46" s="181"/>
      <c r="B46" s="17" t="s">
        <v>120</v>
      </c>
      <c r="C46" s="16" t="s">
        <v>50</v>
      </c>
      <c r="D46" s="42">
        <v>15.77</v>
      </c>
      <c r="E46" s="116"/>
      <c r="F46" s="11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14.45" customHeight="1" x14ac:dyDescent="0.25">
      <c r="A47" s="134" t="s">
        <v>21</v>
      </c>
      <c r="B47" s="17" t="s">
        <v>165</v>
      </c>
      <c r="C47" s="16" t="s">
        <v>54</v>
      </c>
      <c r="D47" s="51">
        <v>13.68</v>
      </c>
      <c r="E47" s="117"/>
      <c r="F47" s="118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14.45" customHeight="1" x14ac:dyDescent="0.25">
      <c r="A48" s="134" t="s">
        <v>23</v>
      </c>
      <c r="B48" s="103" t="s">
        <v>166</v>
      </c>
      <c r="C48" s="16" t="s">
        <v>167</v>
      </c>
      <c r="D48" s="31">
        <v>10.07</v>
      </c>
      <c r="E48" s="119"/>
      <c r="F48" s="11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4.45" customHeight="1" x14ac:dyDescent="0.25">
      <c r="A49" s="173"/>
      <c r="B49" s="173"/>
      <c r="C49" s="173"/>
      <c r="D49" s="173"/>
      <c r="E49" s="173"/>
      <c r="F49" s="173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1" spans="1:244" hidden="1" outlineLevel="1" x14ac:dyDescent="0.25">
      <c r="A51" s="182" t="s">
        <v>186</v>
      </c>
      <c r="B51" s="182"/>
      <c r="C51" s="182"/>
      <c r="D51" s="182"/>
      <c r="E51" s="182"/>
      <c r="F51" s="182"/>
    </row>
    <row r="52" spans="1:244" hidden="1" outlineLevel="1" x14ac:dyDescent="0.25"/>
    <row r="53" spans="1:244" ht="30" hidden="1" outlineLevel="1" x14ac:dyDescent="0.25">
      <c r="A53" s="121" t="s">
        <v>168</v>
      </c>
      <c r="B53" s="122" t="s">
        <v>169</v>
      </c>
      <c r="C53" s="101" t="s">
        <v>170</v>
      </c>
      <c r="D53" s="123" t="s">
        <v>171</v>
      </c>
      <c r="E53" s="123" t="s">
        <v>172</v>
      </c>
      <c r="F53" s="19" t="s">
        <v>173</v>
      </c>
      <c r="G53" s="124" t="s">
        <v>174</v>
      </c>
    </row>
    <row r="54" spans="1:244" hidden="1" outlineLevel="1" x14ac:dyDescent="0.25">
      <c r="A54" s="125" t="s">
        <v>18</v>
      </c>
      <c r="B54" s="12" t="s">
        <v>175</v>
      </c>
      <c r="C54" s="21">
        <v>4000</v>
      </c>
      <c r="D54" s="21">
        <v>23870</v>
      </c>
      <c r="E54" s="21">
        <f>D54*13%</f>
        <v>3103.1</v>
      </c>
      <c r="F54" s="21">
        <f>D54*27.1%</f>
        <v>6468.77</v>
      </c>
      <c r="G54" s="126">
        <f>D54-E54</f>
        <v>20766.900000000001</v>
      </c>
    </row>
    <row r="55" spans="1:244" hidden="1" outlineLevel="1" x14ac:dyDescent="0.25">
      <c r="A55" s="125" t="s">
        <v>19</v>
      </c>
      <c r="B55" s="17" t="s">
        <v>176</v>
      </c>
      <c r="C55" s="21">
        <v>4800</v>
      </c>
      <c r="D55" s="21">
        <v>26400</v>
      </c>
      <c r="E55" s="21">
        <f>D55*13%</f>
        <v>3432</v>
      </c>
      <c r="F55" s="21">
        <f>D55*30.2%</f>
        <v>7972.8</v>
      </c>
      <c r="G55" s="126">
        <f>D55-E55</f>
        <v>22968</v>
      </c>
    </row>
    <row r="56" spans="1:244" hidden="1" outlineLevel="1" x14ac:dyDescent="0.25">
      <c r="A56" s="125" t="s">
        <v>20</v>
      </c>
      <c r="B56" s="17" t="s">
        <v>177</v>
      </c>
      <c r="C56" s="21">
        <v>2700</v>
      </c>
      <c r="D56" s="21">
        <v>19550</v>
      </c>
      <c r="E56" s="21">
        <f>D56*13%</f>
        <v>2541.5</v>
      </c>
      <c r="F56" s="21">
        <f>D56*30.2%</f>
        <v>5904.0999999999995</v>
      </c>
      <c r="G56" s="126">
        <f>D56-E56</f>
        <v>17008.5</v>
      </c>
    </row>
    <row r="57" spans="1:244" hidden="1" outlineLevel="1" x14ac:dyDescent="0.25">
      <c r="A57" s="125" t="s">
        <v>21</v>
      </c>
      <c r="B57" s="17" t="s">
        <v>178</v>
      </c>
      <c r="C57" s="21">
        <v>900</v>
      </c>
      <c r="D57" s="21">
        <v>5524.7182199999997</v>
      </c>
      <c r="E57" s="21">
        <f>D57*13%</f>
        <v>718.21336859999997</v>
      </c>
      <c r="F57" s="21">
        <f t="shared" ref="F57:F63" si="3">D57*30.2%</f>
        <v>1668.4649024399998</v>
      </c>
      <c r="G57" s="126">
        <f t="shared" ref="G57:G61" si="4">D57-E57</f>
        <v>4806.5048514</v>
      </c>
    </row>
    <row r="58" spans="1:244" hidden="1" outlineLevel="1" x14ac:dyDescent="0.25">
      <c r="A58" s="125" t="s">
        <v>23</v>
      </c>
      <c r="B58" s="12" t="s">
        <v>179</v>
      </c>
      <c r="C58" s="21">
        <v>2300</v>
      </c>
      <c r="D58" s="21">
        <v>12650.000000000002</v>
      </c>
      <c r="E58" s="21">
        <f t="shared" ref="E58:E63" si="5">D58*13%</f>
        <v>1644.5000000000002</v>
      </c>
      <c r="F58" s="21">
        <f t="shared" si="3"/>
        <v>3820.3000000000006</v>
      </c>
      <c r="G58" s="126">
        <f t="shared" si="4"/>
        <v>11005.500000000002</v>
      </c>
    </row>
    <row r="59" spans="1:244" hidden="1" outlineLevel="1" x14ac:dyDescent="0.25">
      <c r="A59" s="125" t="s">
        <v>25</v>
      </c>
      <c r="B59" s="17" t="s">
        <v>180</v>
      </c>
      <c r="C59" s="21">
        <v>1500</v>
      </c>
      <c r="D59" s="21">
        <v>8951.25</v>
      </c>
      <c r="E59" s="21">
        <f t="shared" si="5"/>
        <v>1163.6625000000001</v>
      </c>
      <c r="F59" s="21">
        <f t="shared" si="3"/>
        <v>2703.2774999999997</v>
      </c>
      <c r="G59" s="126">
        <f t="shared" si="4"/>
        <v>7787.5874999999996</v>
      </c>
    </row>
    <row r="60" spans="1:244" hidden="1" outlineLevel="1" x14ac:dyDescent="0.25">
      <c r="A60" s="125" t="s">
        <v>27</v>
      </c>
      <c r="B60" s="17" t="s">
        <v>181</v>
      </c>
      <c r="C60" s="21">
        <v>2100</v>
      </c>
      <c r="D60" s="21">
        <v>12124.71</v>
      </c>
      <c r="E60" s="21">
        <f>D60*13%</f>
        <v>1576.2122999999999</v>
      </c>
      <c r="F60" s="21">
        <f t="shared" si="3"/>
        <v>3661.6624199999997</v>
      </c>
      <c r="G60" s="126">
        <f t="shared" si="4"/>
        <v>10548.4977</v>
      </c>
    </row>
    <row r="61" spans="1:244" hidden="1" outlineLevel="1" x14ac:dyDescent="0.25">
      <c r="A61" s="125" t="s">
        <v>29</v>
      </c>
      <c r="B61" s="17" t="s">
        <v>181</v>
      </c>
      <c r="C61" s="21">
        <v>2100</v>
      </c>
      <c r="D61" s="21">
        <v>12124.71</v>
      </c>
      <c r="E61" s="21">
        <f>D61*13%</f>
        <v>1576.2122999999999</v>
      </c>
      <c r="F61" s="21">
        <f t="shared" si="3"/>
        <v>3661.6624199999997</v>
      </c>
      <c r="G61" s="126">
        <f t="shared" si="4"/>
        <v>10548.4977</v>
      </c>
    </row>
    <row r="62" spans="1:244" hidden="1" outlineLevel="1" x14ac:dyDescent="0.25">
      <c r="A62" s="125" t="s">
        <v>30</v>
      </c>
      <c r="B62" s="12" t="s">
        <v>182</v>
      </c>
      <c r="C62" s="21">
        <v>2200</v>
      </c>
      <c r="D62" s="21">
        <v>20690</v>
      </c>
      <c r="E62" s="21">
        <f>D62*13%</f>
        <v>2689.7000000000003</v>
      </c>
      <c r="F62" s="21">
        <f t="shared" si="3"/>
        <v>6248.38</v>
      </c>
      <c r="G62" s="126">
        <f>D62-E62</f>
        <v>18000.3</v>
      </c>
    </row>
    <row r="63" spans="1:244" hidden="1" outlineLevel="1" x14ac:dyDescent="0.25">
      <c r="A63" s="125" t="s">
        <v>32</v>
      </c>
      <c r="B63" s="12" t="s">
        <v>182</v>
      </c>
      <c r="C63" s="21">
        <v>2200</v>
      </c>
      <c r="D63" s="21">
        <v>20690</v>
      </c>
      <c r="E63" s="21">
        <f t="shared" si="5"/>
        <v>2689.7000000000003</v>
      </c>
      <c r="F63" s="21">
        <f t="shared" si="3"/>
        <v>6248.38</v>
      </c>
      <c r="G63" s="126">
        <f>D63-E63</f>
        <v>18000.3</v>
      </c>
    </row>
    <row r="64" spans="1:244" hidden="1" outlineLevel="1" x14ac:dyDescent="0.25">
      <c r="A64" s="183" t="s">
        <v>183</v>
      </c>
      <c r="B64" s="184"/>
      <c r="C64" s="21">
        <f>SUM(C54:C63)</f>
        <v>24800</v>
      </c>
      <c r="D64" s="21">
        <f>SUM(D54:D63)</f>
        <v>162575.38821999999</v>
      </c>
      <c r="E64" s="21">
        <f t="shared" ref="E64" si="6">SUM(E54:E63)</f>
        <v>21134.800468599999</v>
      </c>
      <c r="F64" s="21">
        <f>SUM(F54:F63)</f>
        <v>48357.797242439992</v>
      </c>
      <c r="G64" s="21">
        <f>SUM(G54:G63)</f>
        <v>141440.58775140002</v>
      </c>
    </row>
    <row r="65" spans="1:244" hidden="1" outlineLevel="1" x14ac:dyDescent="0.25"/>
    <row r="66" spans="1:244" hidden="1" outlineLevel="1" x14ac:dyDescent="0.25">
      <c r="A66" s="182" t="s">
        <v>187</v>
      </c>
      <c r="B66" s="182"/>
      <c r="C66" s="182"/>
      <c r="D66" s="182"/>
      <c r="E66" s="182"/>
      <c r="F66" s="182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</row>
    <row r="67" spans="1:244" hidden="1" outlineLevel="1" x14ac:dyDescent="0.25"/>
    <row r="68" spans="1:244" ht="30" hidden="1" outlineLevel="1" x14ac:dyDescent="0.2">
      <c r="A68" s="121" t="s">
        <v>168</v>
      </c>
      <c r="B68" s="122" t="s">
        <v>169</v>
      </c>
      <c r="C68" s="101" t="s">
        <v>170</v>
      </c>
      <c r="D68" s="123" t="s">
        <v>171</v>
      </c>
      <c r="E68" s="123" t="s">
        <v>172</v>
      </c>
      <c r="F68" s="19" t="s">
        <v>173</v>
      </c>
      <c r="G68" s="124" t="s">
        <v>174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</row>
    <row r="69" spans="1:244" hidden="1" outlineLevel="1" x14ac:dyDescent="0.25">
      <c r="A69" s="125" t="s">
        <v>18</v>
      </c>
      <c r="B69" s="12" t="s">
        <v>175</v>
      </c>
      <c r="C69" s="21">
        <v>4000</v>
      </c>
      <c r="D69" s="21">
        <v>23870</v>
      </c>
      <c r="E69" s="21">
        <f>D69*13%</f>
        <v>3103.1</v>
      </c>
      <c r="F69" s="21">
        <f>D69*27.1%</f>
        <v>6468.77</v>
      </c>
      <c r="G69" s="126">
        <f>D69-E69</f>
        <v>20766.900000000001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</row>
    <row r="70" spans="1:244" hidden="1" outlineLevel="1" x14ac:dyDescent="0.25">
      <c r="A70" s="125" t="s">
        <v>19</v>
      </c>
      <c r="B70" s="17" t="s">
        <v>176</v>
      </c>
      <c r="C70" s="21">
        <v>4800</v>
      </c>
      <c r="D70" s="21">
        <v>26400</v>
      </c>
      <c r="E70" s="21">
        <f>D70*13%</f>
        <v>3432</v>
      </c>
      <c r="F70" s="21">
        <f>D70*30.2%</f>
        <v>7972.8</v>
      </c>
      <c r="G70" s="126">
        <f>D70-E70</f>
        <v>22968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</row>
    <row r="71" spans="1:244" hidden="1" outlineLevel="1" x14ac:dyDescent="0.25">
      <c r="A71" s="125" t="s">
        <v>20</v>
      </c>
      <c r="B71" s="17" t="s">
        <v>177</v>
      </c>
      <c r="C71" s="21">
        <v>2700</v>
      </c>
      <c r="D71" s="21">
        <v>19550</v>
      </c>
      <c r="E71" s="21">
        <f>D71*13%</f>
        <v>2541.5</v>
      </c>
      <c r="F71" s="21">
        <f>D71*30.2%</f>
        <v>5904.0999999999995</v>
      </c>
      <c r="G71" s="126">
        <f>D71-E71</f>
        <v>17008.5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</row>
    <row r="72" spans="1:244" hidden="1" outlineLevel="1" x14ac:dyDescent="0.25">
      <c r="A72" s="125" t="s">
        <v>21</v>
      </c>
      <c r="B72" s="17" t="s">
        <v>178</v>
      </c>
      <c r="C72" s="21">
        <v>900</v>
      </c>
      <c r="D72" s="21">
        <v>5524.7182199999997</v>
      </c>
      <c r="E72" s="21">
        <f>D72*13%</f>
        <v>718.21336859999997</v>
      </c>
      <c r="F72" s="21">
        <f t="shared" ref="F72:F78" si="7">D72*30.2%</f>
        <v>1668.4649024399998</v>
      </c>
      <c r="G72" s="126">
        <f t="shared" ref="G72:G76" si="8">D72-E72</f>
        <v>4806.5048514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</row>
    <row r="73" spans="1:244" hidden="1" outlineLevel="1" x14ac:dyDescent="0.25">
      <c r="A73" s="125" t="s">
        <v>23</v>
      </c>
      <c r="B73" s="12" t="s">
        <v>179</v>
      </c>
      <c r="C73" s="21">
        <v>2300</v>
      </c>
      <c r="D73" s="21">
        <v>12650.000000000002</v>
      </c>
      <c r="E73" s="21">
        <f t="shared" ref="E73:E74" si="9">D73*13%</f>
        <v>1644.5000000000002</v>
      </c>
      <c r="F73" s="21">
        <f t="shared" si="7"/>
        <v>3820.3000000000006</v>
      </c>
      <c r="G73" s="126">
        <f t="shared" si="8"/>
        <v>11005.500000000002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</row>
    <row r="74" spans="1:244" hidden="1" outlineLevel="1" x14ac:dyDescent="0.25">
      <c r="A74" s="125" t="s">
        <v>25</v>
      </c>
      <c r="B74" s="17" t="s">
        <v>180</v>
      </c>
      <c r="C74" s="21">
        <v>1500</v>
      </c>
      <c r="D74" s="21">
        <v>8951.25</v>
      </c>
      <c r="E74" s="21">
        <f t="shared" si="9"/>
        <v>1163.6625000000001</v>
      </c>
      <c r="F74" s="21">
        <f t="shared" si="7"/>
        <v>2703.2774999999997</v>
      </c>
      <c r="G74" s="126">
        <f t="shared" si="8"/>
        <v>7787.5874999999996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</row>
    <row r="75" spans="1:244" hidden="1" outlineLevel="1" x14ac:dyDescent="0.25">
      <c r="A75" s="125" t="s">
        <v>27</v>
      </c>
      <c r="B75" s="17" t="s">
        <v>181</v>
      </c>
      <c r="C75" s="21">
        <v>2100</v>
      </c>
      <c r="D75" s="21">
        <v>12124.71</v>
      </c>
      <c r="E75" s="21">
        <f>D75*13%</f>
        <v>1576.2122999999999</v>
      </c>
      <c r="F75" s="21">
        <f t="shared" si="7"/>
        <v>3661.6624199999997</v>
      </c>
      <c r="G75" s="126">
        <f t="shared" si="8"/>
        <v>10548.4977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</row>
    <row r="76" spans="1:244" hidden="1" outlineLevel="1" x14ac:dyDescent="0.25">
      <c r="A76" s="125" t="s">
        <v>29</v>
      </c>
      <c r="B76" s="17" t="s">
        <v>181</v>
      </c>
      <c r="C76" s="21">
        <v>2100</v>
      </c>
      <c r="D76" s="21">
        <v>12124.71</v>
      </c>
      <c r="E76" s="21">
        <f>D76*13%</f>
        <v>1576.2122999999999</v>
      </c>
      <c r="F76" s="21">
        <f t="shared" si="7"/>
        <v>3661.6624199999997</v>
      </c>
      <c r="G76" s="126">
        <f t="shared" si="8"/>
        <v>10548.4977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</row>
    <row r="77" spans="1:244" hidden="1" outlineLevel="1" x14ac:dyDescent="0.25">
      <c r="A77" s="125" t="s">
        <v>30</v>
      </c>
      <c r="B77" s="12" t="s">
        <v>182</v>
      </c>
      <c r="C77" s="21">
        <v>2200</v>
      </c>
      <c r="D77" s="21">
        <v>14061.499</v>
      </c>
      <c r="E77" s="21">
        <f>D77*13%</f>
        <v>1827.99487</v>
      </c>
      <c r="F77" s="21">
        <f t="shared" si="7"/>
        <v>4246.5726979999999</v>
      </c>
      <c r="G77" s="126">
        <f>D77-E77</f>
        <v>12233.504129999999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</row>
    <row r="78" spans="1:244" hidden="1" outlineLevel="1" x14ac:dyDescent="0.25">
      <c r="A78" s="125" t="s">
        <v>32</v>
      </c>
      <c r="B78" s="12" t="s">
        <v>182</v>
      </c>
      <c r="C78" s="21">
        <v>2200</v>
      </c>
      <c r="D78" s="21">
        <v>14061.499</v>
      </c>
      <c r="E78" s="21">
        <f t="shared" ref="E78" si="10">D78*13%</f>
        <v>1827.99487</v>
      </c>
      <c r="F78" s="21">
        <f t="shared" si="7"/>
        <v>4246.5726979999999</v>
      </c>
      <c r="G78" s="126">
        <f>D78-E78</f>
        <v>12233.504129999999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</row>
    <row r="79" spans="1:244" hidden="1" outlineLevel="1" x14ac:dyDescent="0.25">
      <c r="A79" s="183" t="s">
        <v>183</v>
      </c>
      <c r="B79" s="184"/>
      <c r="C79" s="21">
        <f>SUM(C69:C78)</f>
        <v>24800</v>
      </c>
      <c r="D79" s="21">
        <f>SUM(D69:D78)</f>
        <v>149318.38622000001</v>
      </c>
      <c r="E79" s="21">
        <f t="shared" ref="E79" si="11">SUM(E69:E78)</f>
        <v>19411.390208599998</v>
      </c>
      <c r="F79" s="21">
        <f>SUM(F69:F78)</f>
        <v>44354.182638440005</v>
      </c>
      <c r="G79" s="21">
        <f>SUM(G69:G78)</f>
        <v>129906.99601140001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</row>
    <row r="80" spans="1:244" hidden="1" outlineLevel="1" x14ac:dyDescent="0.25"/>
    <row r="81" spans="1:244" hidden="1" outlineLevel="1" x14ac:dyDescent="0.25">
      <c r="A81" s="182" t="s">
        <v>184</v>
      </c>
      <c r="B81" s="182"/>
      <c r="C81" s="182"/>
      <c r="D81" s="182"/>
      <c r="E81" s="182"/>
      <c r="F81" s="182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</row>
    <row r="82" spans="1:244" hidden="1" outlineLevel="1" x14ac:dyDescent="0.25"/>
    <row r="83" spans="1:244" ht="30" hidden="1" outlineLevel="1" x14ac:dyDescent="0.2">
      <c r="A83" s="121" t="s">
        <v>168</v>
      </c>
      <c r="B83" s="122" t="s">
        <v>169</v>
      </c>
      <c r="C83" s="101" t="s">
        <v>170</v>
      </c>
      <c r="D83" s="123" t="s">
        <v>171</v>
      </c>
      <c r="E83" s="123" t="s">
        <v>172</v>
      </c>
      <c r="F83" s="19" t="s">
        <v>173</v>
      </c>
      <c r="G83" s="124" t="s">
        <v>174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</row>
    <row r="84" spans="1:244" hidden="1" outlineLevel="1" x14ac:dyDescent="0.25">
      <c r="A84" s="125" t="s">
        <v>18</v>
      </c>
      <c r="B84" s="12" t="s">
        <v>175</v>
      </c>
      <c r="C84" s="21">
        <v>4000</v>
      </c>
      <c r="D84" s="21">
        <v>26257</v>
      </c>
      <c r="E84" s="21">
        <f>D84*13%</f>
        <v>3413.4100000000003</v>
      </c>
      <c r="F84" s="21">
        <f>D84*27.1%</f>
        <v>7115.6470000000008</v>
      </c>
      <c r="G84" s="129">
        <f>D84-E84</f>
        <v>22843.59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</row>
    <row r="85" spans="1:244" hidden="1" outlineLevel="1" x14ac:dyDescent="0.25">
      <c r="A85" s="125" t="s">
        <v>19</v>
      </c>
      <c r="B85" s="17" t="s">
        <v>176</v>
      </c>
      <c r="C85" s="21">
        <v>4800</v>
      </c>
      <c r="D85" s="21">
        <v>29040</v>
      </c>
      <c r="E85" s="21">
        <f>D85*13%</f>
        <v>3775.2000000000003</v>
      </c>
      <c r="F85" s="21">
        <f>D85*30.2%</f>
        <v>8770.08</v>
      </c>
      <c r="G85" s="129">
        <f>D85-E85</f>
        <v>25264.799999999999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</row>
    <row r="86" spans="1:244" hidden="1" outlineLevel="1" x14ac:dyDescent="0.25">
      <c r="A86" s="125" t="s">
        <v>20</v>
      </c>
      <c r="B86" s="17" t="s">
        <v>177</v>
      </c>
      <c r="C86" s="21">
        <v>2700</v>
      </c>
      <c r="D86" s="21">
        <v>19550</v>
      </c>
      <c r="E86" s="21">
        <f>D86*13%</f>
        <v>2541.5</v>
      </c>
      <c r="F86" s="21">
        <f>D86*30.2%</f>
        <v>5904.0999999999995</v>
      </c>
      <c r="G86" s="129">
        <f>D86-E86</f>
        <v>17008.5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</row>
    <row r="87" spans="1:244" hidden="1" outlineLevel="1" x14ac:dyDescent="0.25">
      <c r="A87" s="125" t="s">
        <v>21</v>
      </c>
      <c r="B87" s="17" t="s">
        <v>178</v>
      </c>
      <c r="C87" s="21">
        <v>900</v>
      </c>
      <c r="D87" s="21">
        <v>5524.7182199999997</v>
      </c>
      <c r="E87" s="21">
        <f>D87*13%</f>
        <v>718.21336859999997</v>
      </c>
      <c r="F87" s="21">
        <f t="shared" ref="F87:F93" si="12">D87*30.2%</f>
        <v>1668.4649024399998</v>
      </c>
      <c r="G87" s="129">
        <f t="shared" ref="G87:G89" si="13">D87-E87</f>
        <v>4806.5048514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</row>
    <row r="88" spans="1:244" hidden="1" outlineLevel="1" x14ac:dyDescent="0.25">
      <c r="A88" s="125" t="s">
        <v>23</v>
      </c>
      <c r="B88" s="12" t="s">
        <v>179</v>
      </c>
      <c r="C88" s="21">
        <v>2300</v>
      </c>
      <c r="D88" s="21">
        <v>12650.000000000002</v>
      </c>
      <c r="E88" s="21">
        <f t="shared" ref="E88:E89" si="14">D88*13%</f>
        <v>1644.5000000000002</v>
      </c>
      <c r="F88" s="21">
        <f t="shared" si="12"/>
        <v>3820.3000000000006</v>
      </c>
      <c r="G88" s="129">
        <f t="shared" si="13"/>
        <v>11005.500000000002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</row>
    <row r="89" spans="1:244" hidden="1" outlineLevel="1" x14ac:dyDescent="0.25">
      <c r="A89" s="125" t="s">
        <v>25</v>
      </c>
      <c r="B89" s="17" t="s">
        <v>180</v>
      </c>
      <c r="C89" s="21">
        <v>1500</v>
      </c>
      <c r="D89" s="21">
        <v>8951.25</v>
      </c>
      <c r="E89" s="21">
        <f t="shared" si="14"/>
        <v>1163.6625000000001</v>
      </c>
      <c r="F89" s="21">
        <f t="shared" si="12"/>
        <v>2703.2774999999997</v>
      </c>
      <c r="G89" s="129">
        <f t="shared" si="13"/>
        <v>7787.5874999999996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</row>
    <row r="90" spans="1:244" hidden="1" outlineLevel="1" x14ac:dyDescent="0.25">
      <c r="A90" s="125" t="s">
        <v>27</v>
      </c>
      <c r="B90" s="17" t="s">
        <v>181</v>
      </c>
      <c r="C90" s="21">
        <v>2100</v>
      </c>
      <c r="D90" s="21">
        <v>13942.53</v>
      </c>
      <c r="E90" s="21">
        <f>D90*13%</f>
        <v>1812.5289000000002</v>
      </c>
      <c r="F90" s="21">
        <f>D90*30.2%</f>
        <v>4210.6440599999996</v>
      </c>
      <c r="G90" s="129">
        <f>D90-E90</f>
        <v>12130.001100000001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</row>
    <row r="91" spans="1:244" hidden="1" outlineLevel="1" x14ac:dyDescent="0.25">
      <c r="A91" s="125" t="s">
        <v>29</v>
      </c>
      <c r="B91" s="17" t="s">
        <v>181</v>
      </c>
      <c r="C91" s="21">
        <v>2100</v>
      </c>
      <c r="D91" s="21">
        <v>13942.53</v>
      </c>
      <c r="E91" s="21">
        <f>D91*13%</f>
        <v>1812.5289000000002</v>
      </c>
      <c r="F91" s="21">
        <f t="shared" si="12"/>
        <v>4210.6440599999996</v>
      </c>
      <c r="G91" s="129">
        <f>D91-E91</f>
        <v>12130.001100000001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</row>
    <row r="92" spans="1:244" hidden="1" outlineLevel="1" x14ac:dyDescent="0.25">
      <c r="A92" s="125" t="s">
        <v>30</v>
      </c>
      <c r="B92" s="12" t="s">
        <v>182</v>
      </c>
      <c r="C92" s="21">
        <v>2200</v>
      </c>
      <c r="D92" s="21">
        <v>14061.499</v>
      </c>
      <c r="E92" s="21">
        <f>D92*13%</f>
        <v>1827.99487</v>
      </c>
      <c r="F92" s="21">
        <f t="shared" si="12"/>
        <v>4246.5726979999999</v>
      </c>
      <c r="G92" s="129">
        <f>D92-E92</f>
        <v>12233.504129999999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</row>
    <row r="93" spans="1:244" hidden="1" outlineLevel="1" x14ac:dyDescent="0.25">
      <c r="A93" s="125" t="s">
        <v>32</v>
      </c>
      <c r="B93" s="12" t="s">
        <v>182</v>
      </c>
      <c r="C93" s="21">
        <v>2200</v>
      </c>
      <c r="D93" s="21">
        <v>14061.499</v>
      </c>
      <c r="E93" s="21">
        <f t="shared" ref="E93" si="15">D93*13%</f>
        <v>1827.99487</v>
      </c>
      <c r="F93" s="21">
        <f t="shared" si="12"/>
        <v>4246.5726979999999</v>
      </c>
      <c r="G93" s="129">
        <f>D93-E93</f>
        <v>12233.504129999999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</row>
    <row r="94" spans="1:244" hidden="1" outlineLevel="1" x14ac:dyDescent="0.25">
      <c r="A94" s="183" t="s">
        <v>183</v>
      </c>
      <c r="B94" s="184"/>
      <c r="C94" s="21">
        <f>SUM(C84:C93)</f>
        <v>24800</v>
      </c>
      <c r="D94" s="21">
        <f>SUM(D84:D93)</f>
        <v>157981.02622</v>
      </c>
      <c r="E94" s="21">
        <f t="shared" ref="E94" si="16">SUM(E84:E93)</f>
        <v>20537.5334086</v>
      </c>
      <c r="F94" s="21">
        <f>SUM(F84:F93)</f>
        <v>46896.302918440007</v>
      </c>
      <c r="G94" s="30">
        <f>SUM(G84:G93)</f>
        <v>137443.49281139998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</row>
    <row r="95" spans="1:244" hidden="1" outlineLevel="1" x14ac:dyDescent="0.25"/>
    <row r="96" spans="1:244" hidden="1" outlineLevel="1" x14ac:dyDescent="0.25">
      <c r="A96" s="182" t="s">
        <v>185</v>
      </c>
      <c r="B96" s="182"/>
      <c r="C96" s="182"/>
      <c r="D96" s="182"/>
      <c r="E96" s="182"/>
      <c r="F96" s="182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</row>
    <row r="97" spans="1:244" hidden="1" outlineLevel="1" x14ac:dyDescent="0.25"/>
    <row r="98" spans="1:244" ht="30" hidden="1" outlineLevel="1" x14ac:dyDescent="0.2">
      <c r="A98" s="121" t="s">
        <v>168</v>
      </c>
      <c r="B98" s="122" t="s">
        <v>169</v>
      </c>
      <c r="C98" s="101" t="s">
        <v>170</v>
      </c>
      <c r="D98" s="123" t="s">
        <v>171</v>
      </c>
      <c r="E98" s="123" t="s">
        <v>172</v>
      </c>
      <c r="F98" s="19" t="s">
        <v>173</v>
      </c>
      <c r="G98" s="124" t="s">
        <v>174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</row>
    <row r="99" spans="1:244" hidden="1" outlineLevel="1" x14ac:dyDescent="0.25">
      <c r="A99" s="125" t="s">
        <v>18</v>
      </c>
      <c r="B99" s="12" t="s">
        <v>175</v>
      </c>
      <c r="C99" s="21">
        <v>4000</v>
      </c>
      <c r="D99" s="21">
        <v>26257</v>
      </c>
      <c r="E99" s="21">
        <f>D99*13%</f>
        <v>3413.4100000000003</v>
      </c>
      <c r="F99" s="21">
        <f>D99*27.1%</f>
        <v>7115.6470000000008</v>
      </c>
      <c r="G99" s="129">
        <f>D99-E99</f>
        <v>22843.59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</row>
    <row r="100" spans="1:244" hidden="1" outlineLevel="1" x14ac:dyDescent="0.25">
      <c r="A100" s="125" t="s">
        <v>19</v>
      </c>
      <c r="B100" s="17" t="s">
        <v>176</v>
      </c>
      <c r="C100" s="21">
        <v>4800</v>
      </c>
      <c r="D100" s="21">
        <v>29040</v>
      </c>
      <c r="E100" s="21">
        <f>D100*13%</f>
        <v>3775.2000000000003</v>
      </c>
      <c r="F100" s="21">
        <f>D100*30.2%</f>
        <v>8770.08</v>
      </c>
      <c r="G100" s="129">
        <f>D100-E100</f>
        <v>25264.799999999999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</row>
    <row r="101" spans="1:244" hidden="1" outlineLevel="1" x14ac:dyDescent="0.25">
      <c r="A101" s="125" t="s">
        <v>20</v>
      </c>
      <c r="B101" s="17" t="s">
        <v>177</v>
      </c>
      <c r="C101" s="21">
        <v>2700</v>
      </c>
      <c r="D101" s="21">
        <v>19550</v>
      </c>
      <c r="E101" s="21">
        <f>D101*13%</f>
        <v>2541.5</v>
      </c>
      <c r="F101" s="21">
        <f>D101*30.2%</f>
        <v>5904.0999999999995</v>
      </c>
      <c r="G101" s="129">
        <f>D101-E101</f>
        <v>17008.5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</row>
    <row r="102" spans="1:244" hidden="1" outlineLevel="1" x14ac:dyDescent="0.25">
      <c r="A102" s="125" t="s">
        <v>21</v>
      </c>
      <c r="B102" s="17" t="s">
        <v>178</v>
      </c>
      <c r="C102" s="21">
        <v>900</v>
      </c>
      <c r="D102" s="21">
        <v>5524.7182199999997</v>
      </c>
      <c r="E102" s="21">
        <f>D102*13%</f>
        <v>718.21336859999997</v>
      </c>
      <c r="F102" s="21">
        <f t="shared" ref="F102:F108" si="17">D102*30.2%</f>
        <v>1668.4649024399998</v>
      </c>
      <c r="G102" s="129">
        <f t="shared" ref="G102:G106" si="18">D102-E102</f>
        <v>4806.5048514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</row>
    <row r="103" spans="1:244" hidden="1" outlineLevel="1" x14ac:dyDescent="0.25">
      <c r="A103" s="125" t="s">
        <v>23</v>
      </c>
      <c r="B103" s="12" t="s">
        <v>179</v>
      </c>
      <c r="C103" s="21">
        <v>2300</v>
      </c>
      <c r="D103" s="21">
        <v>12650.000000000002</v>
      </c>
      <c r="E103" s="21">
        <f t="shared" ref="E103:E104" si="19">D103*13%</f>
        <v>1644.5000000000002</v>
      </c>
      <c r="F103" s="21">
        <f t="shared" si="17"/>
        <v>3820.3000000000006</v>
      </c>
      <c r="G103" s="129">
        <f t="shared" si="18"/>
        <v>11005.500000000002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</row>
    <row r="104" spans="1:244" hidden="1" outlineLevel="1" x14ac:dyDescent="0.25">
      <c r="A104" s="125" t="s">
        <v>25</v>
      </c>
      <c r="B104" s="17" t="s">
        <v>180</v>
      </c>
      <c r="C104" s="21">
        <v>1500</v>
      </c>
      <c r="D104" s="21">
        <v>8951.25</v>
      </c>
      <c r="E104" s="21">
        <f t="shared" si="19"/>
        <v>1163.6625000000001</v>
      </c>
      <c r="F104" s="21">
        <f t="shared" si="17"/>
        <v>2703.2774999999997</v>
      </c>
      <c r="G104" s="129">
        <f t="shared" si="18"/>
        <v>7787.5874999999996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</row>
    <row r="105" spans="1:244" hidden="1" outlineLevel="1" x14ac:dyDescent="0.25">
      <c r="A105" s="125" t="s">
        <v>27</v>
      </c>
      <c r="B105" s="17" t="s">
        <v>181</v>
      </c>
      <c r="C105" s="21">
        <v>2100</v>
      </c>
      <c r="D105" s="21">
        <v>13942.53</v>
      </c>
      <c r="E105" s="21">
        <f>D105*13%</f>
        <v>1812.5289000000002</v>
      </c>
      <c r="F105" s="21">
        <f t="shared" si="17"/>
        <v>4210.6440599999996</v>
      </c>
      <c r="G105" s="129">
        <f t="shared" si="18"/>
        <v>12130.001100000001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</row>
    <row r="106" spans="1:244" hidden="1" outlineLevel="1" x14ac:dyDescent="0.25">
      <c r="A106" s="125" t="s">
        <v>29</v>
      </c>
      <c r="B106" s="17" t="s">
        <v>181</v>
      </c>
      <c r="C106" s="21">
        <v>2100</v>
      </c>
      <c r="D106" s="21">
        <v>13942.53</v>
      </c>
      <c r="E106" s="21">
        <f>D106*13%</f>
        <v>1812.5289000000002</v>
      </c>
      <c r="F106" s="21">
        <f t="shared" si="17"/>
        <v>4210.6440599999996</v>
      </c>
      <c r="G106" s="129">
        <f t="shared" si="18"/>
        <v>12130.001100000001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</row>
    <row r="107" spans="1:244" hidden="1" outlineLevel="1" x14ac:dyDescent="0.25">
      <c r="A107" s="125" t="s">
        <v>30</v>
      </c>
      <c r="B107" s="12" t="s">
        <v>182</v>
      </c>
      <c r="C107" s="21">
        <v>2200</v>
      </c>
      <c r="D107" s="21">
        <v>20690</v>
      </c>
      <c r="E107" s="21">
        <f>D107*13%</f>
        <v>2689.7000000000003</v>
      </c>
      <c r="F107" s="21">
        <f t="shared" si="17"/>
        <v>6248.38</v>
      </c>
      <c r="G107" s="129">
        <f>D107-E107</f>
        <v>18000.3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</row>
    <row r="108" spans="1:244" hidden="1" outlineLevel="1" x14ac:dyDescent="0.25">
      <c r="A108" s="125" t="s">
        <v>32</v>
      </c>
      <c r="B108" s="12" t="s">
        <v>182</v>
      </c>
      <c r="C108" s="21">
        <v>2200</v>
      </c>
      <c r="D108" s="21">
        <v>20690</v>
      </c>
      <c r="E108" s="21">
        <f t="shared" ref="E108" si="20">D108*13%</f>
        <v>2689.7000000000003</v>
      </c>
      <c r="F108" s="21">
        <f t="shared" si="17"/>
        <v>6248.38</v>
      </c>
      <c r="G108" s="129">
        <f>D108-E108</f>
        <v>18000.3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</row>
    <row r="109" spans="1:244" hidden="1" outlineLevel="1" x14ac:dyDescent="0.25">
      <c r="A109" s="183" t="s">
        <v>183</v>
      </c>
      <c r="B109" s="184"/>
      <c r="C109" s="21">
        <f>SUM(C99:C108)</f>
        <v>24800</v>
      </c>
      <c r="D109" s="21">
        <f>SUM(D99:D108)</f>
        <v>171238.02821999998</v>
      </c>
      <c r="E109" s="21">
        <f t="shared" ref="E109" si="21">SUM(E99:E108)</f>
        <v>22260.943668600004</v>
      </c>
      <c r="F109" s="21">
        <f>SUM(F99:F108)</f>
        <v>50899.917522439995</v>
      </c>
      <c r="G109" s="30">
        <f>SUM(G99:G108)</f>
        <v>148977.08455139998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</row>
    <row r="110" spans="1:244" collapsed="1" x14ac:dyDescent="0.25"/>
    <row r="111" spans="1:244" x14ac:dyDescent="0.25">
      <c r="A111" s="182" t="s">
        <v>208</v>
      </c>
      <c r="B111" s="182"/>
      <c r="C111" s="182"/>
      <c r="D111" s="182"/>
      <c r="E111" s="182"/>
      <c r="F111" s="182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</row>
    <row r="113" spans="1:14" ht="30" x14ac:dyDescent="0.25">
      <c r="A113" s="121" t="s">
        <v>168</v>
      </c>
      <c r="B113" s="122" t="s">
        <v>169</v>
      </c>
      <c r="C113" s="101" t="s">
        <v>170</v>
      </c>
      <c r="D113" s="151" t="s">
        <v>171</v>
      </c>
      <c r="E113" s="151" t="s">
        <v>172</v>
      </c>
      <c r="F113" s="37" t="s">
        <v>173</v>
      </c>
      <c r="G113" s="63" t="s">
        <v>174</v>
      </c>
    </row>
    <row r="114" spans="1:14" x14ac:dyDescent="0.25">
      <c r="A114" s="125" t="s">
        <v>18</v>
      </c>
      <c r="B114" s="12" t="s">
        <v>175</v>
      </c>
      <c r="C114" s="21">
        <v>4000</v>
      </c>
      <c r="D114" s="30">
        <v>26257</v>
      </c>
      <c r="E114" s="30">
        <f>D114*13%</f>
        <v>3413.4100000000003</v>
      </c>
      <c r="F114" s="30">
        <f>D114*27.1%</f>
        <v>7115.6470000000008</v>
      </c>
      <c r="G114" s="129">
        <f>D114-E114</f>
        <v>22843.59</v>
      </c>
    </row>
    <row r="115" spans="1:14" x14ac:dyDescent="0.25">
      <c r="A115" s="125" t="s">
        <v>19</v>
      </c>
      <c r="B115" s="17" t="s">
        <v>176</v>
      </c>
      <c r="C115" s="21">
        <v>4800</v>
      </c>
      <c r="D115" s="30">
        <v>29040</v>
      </c>
      <c r="E115" s="30">
        <f>D115*13%</f>
        <v>3775.2000000000003</v>
      </c>
      <c r="F115" s="30">
        <f>D115*30.2%</f>
        <v>8770.08</v>
      </c>
      <c r="G115" s="129">
        <f>D115-E115</f>
        <v>25264.799999999999</v>
      </c>
    </row>
    <row r="116" spans="1:14" x14ac:dyDescent="0.25">
      <c r="A116" s="125" t="s">
        <v>20</v>
      </c>
      <c r="B116" s="17" t="s">
        <v>177</v>
      </c>
      <c r="C116" s="21">
        <v>2700</v>
      </c>
      <c r="D116" s="30">
        <v>19550</v>
      </c>
      <c r="E116" s="30">
        <f>D116*13%</f>
        <v>2541.5</v>
      </c>
      <c r="F116" s="30">
        <f>D116*30.2%</f>
        <v>5904.0999999999995</v>
      </c>
      <c r="G116" s="129">
        <f>D116-E116</f>
        <v>17008.5</v>
      </c>
    </row>
    <row r="117" spans="1:14" x14ac:dyDescent="0.25">
      <c r="A117" s="125" t="s">
        <v>21</v>
      </c>
      <c r="B117" s="17" t="s">
        <v>178</v>
      </c>
      <c r="C117" s="21">
        <v>900</v>
      </c>
      <c r="D117" s="30">
        <v>5524.7182199999997</v>
      </c>
      <c r="E117" s="30">
        <f>D117*13%</f>
        <v>718.21336859999997</v>
      </c>
      <c r="F117" s="30">
        <f t="shared" ref="F117:F123" si="22">D117*30.2%</f>
        <v>1668.4649024399998</v>
      </c>
      <c r="G117" s="129">
        <f t="shared" ref="G117:G121" si="23">D117-E117</f>
        <v>4806.5048514</v>
      </c>
    </row>
    <row r="118" spans="1:14" x14ac:dyDescent="0.25">
      <c r="A118" s="125" t="s">
        <v>23</v>
      </c>
      <c r="B118" s="12" t="s">
        <v>179</v>
      </c>
      <c r="C118" s="21">
        <v>2300</v>
      </c>
      <c r="D118" s="30">
        <v>12650.000000000002</v>
      </c>
      <c r="E118" s="30">
        <f t="shared" ref="E118:E119" si="24">D118*13%</f>
        <v>1644.5000000000002</v>
      </c>
      <c r="F118" s="30">
        <f t="shared" si="22"/>
        <v>3820.3000000000006</v>
      </c>
      <c r="G118" s="129">
        <f t="shared" si="23"/>
        <v>11005.500000000002</v>
      </c>
    </row>
    <row r="119" spans="1:14" x14ac:dyDescent="0.25">
      <c r="A119" s="125" t="s">
        <v>25</v>
      </c>
      <c r="B119" s="17" t="s">
        <v>180</v>
      </c>
      <c r="C119" s="21">
        <v>1500</v>
      </c>
      <c r="D119" s="30">
        <v>8951.25</v>
      </c>
      <c r="E119" s="30">
        <f t="shared" si="24"/>
        <v>1163.6625000000001</v>
      </c>
      <c r="F119" s="30">
        <f>D119*30.2%</f>
        <v>2703.2774999999997</v>
      </c>
      <c r="G119" s="129">
        <f t="shared" si="23"/>
        <v>7787.5874999999996</v>
      </c>
    </row>
    <row r="120" spans="1:14" x14ac:dyDescent="0.25">
      <c r="A120" s="125" t="s">
        <v>27</v>
      </c>
      <c r="B120" s="17" t="s">
        <v>181</v>
      </c>
      <c r="C120" s="21">
        <v>2100</v>
      </c>
      <c r="D120" s="30">
        <v>13942.53</v>
      </c>
      <c r="E120" s="30">
        <f>D120*13%</f>
        <v>1812.5289000000002</v>
      </c>
      <c r="F120" s="30">
        <f t="shared" si="22"/>
        <v>4210.6440599999996</v>
      </c>
      <c r="G120" s="129">
        <f t="shared" si="23"/>
        <v>12130.001100000001</v>
      </c>
    </row>
    <row r="121" spans="1:14" x14ac:dyDescent="0.25">
      <c r="A121" s="125" t="s">
        <v>29</v>
      </c>
      <c r="B121" s="17" t="s">
        <v>181</v>
      </c>
      <c r="C121" s="21">
        <v>2100</v>
      </c>
      <c r="D121" s="30">
        <v>13942.53</v>
      </c>
      <c r="E121" s="30">
        <f>D121*13%</f>
        <v>1812.5289000000002</v>
      </c>
      <c r="F121" s="30">
        <f t="shared" si="22"/>
        <v>4210.6440599999996</v>
      </c>
      <c r="G121" s="129">
        <f t="shared" si="23"/>
        <v>12130.001100000001</v>
      </c>
    </row>
    <row r="122" spans="1:14" x14ac:dyDescent="0.25">
      <c r="A122" s="125" t="s">
        <v>30</v>
      </c>
      <c r="B122" s="12" t="s">
        <v>182</v>
      </c>
      <c r="C122" s="21">
        <v>2200</v>
      </c>
      <c r="D122" s="30">
        <v>20690</v>
      </c>
      <c r="E122" s="30">
        <f>D122*13%</f>
        <v>2689.7000000000003</v>
      </c>
      <c r="F122" s="30">
        <f t="shared" si="22"/>
        <v>6248.38</v>
      </c>
      <c r="G122" s="129">
        <f>D122-E122</f>
        <v>18000.3</v>
      </c>
    </row>
    <row r="123" spans="1:14" x14ac:dyDescent="0.25">
      <c r="A123" s="125" t="s">
        <v>32</v>
      </c>
      <c r="B123" s="12" t="s">
        <v>182</v>
      </c>
      <c r="C123" s="21">
        <v>2200</v>
      </c>
      <c r="D123" s="30">
        <v>20690</v>
      </c>
      <c r="E123" s="30">
        <f t="shared" ref="E123" si="25">D123*13%</f>
        <v>2689.7000000000003</v>
      </c>
      <c r="F123" s="30">
        <f t="shared" si="22"/>
        <v>6248.38</v>
      </c>
      <c r="G123" s="129">
        <f>D123-E123</f>
        <v>18000.3</v>
      </c>
    </row>
    <row r="124" spans="1:14" x14ac:dyDescent="0.25">
      <c r="A124" s="183" t="s">
        <v>183</v>
      </c>
      <c r="B124" s="184"/>
      <c r="C124" s="21">
        <f>SUM(C114:C123)</f>
        <v>24800</v>
      </c>
      <c r="D124" s="21">
        <f>SUM(D114:D123)</f>
        <v>171238.02821999998</v>
      </c>
      <c r="E124" s="21">
        <f t="shared" ref="E124" si="26">SUM(E114:E123)</f>
        <v>22260.943668600004</v>
      </c>
      <c r="F124" s="21">
        <f>SUM(F114:F123)</f>
        <v>50899.917522439995</v>
      </c>
      <c r="G124" s="30">
        <f>SUM(G114:G123)</f>
        <v>148977.08455139998</v>
      </c>
      <c r="K124" s="79">
        <f>D124*2</f>
        <v>342476.05643999996</v>
      </c>
      <c r="L124" s="79">
        <f>D139*4</f>
        <v>631924.10488</v>
      </c>
      <c r="M124" s="79">
        <f>D155*6</f>
        <v>1000122.9193200001</v>
      </c>
      <c r="N124" s="79">
        <f>K124+L124+M124</f>
        <v>1974523.0806400001</v>
      </c>
    </row>
    <row r="126" spans="1:14" x14ac:dyDescent="0.25">
      <c r="A126" s="182" t="s">
        <v>213</v>
      </c>
      <c r="B126" s="182"/>
      <c r="C126" s="182"/>
      <c r="D126" s="182"/>
      <c r="E126" s="182"/>
      <c r="F126" s="182"/>
    </row>
    <row r="128" spans="1:14" ht="30" x14ac:dyDescent="0.25">
      <c r="A128" s="121" t="s">
        <v>168</v>
      </c>
      <c r="B128" s="122" t="s">
        <v>169</v>
      </c>
      <c r="C128" s="101" t="s">
        <v>170</v>
      </c>
      <c r="D128" s="123" t="s">
        <v>171</v>
      </c>
      <c r="E128" s="123" t="s">
        <v>172</v>
      </c>
      <c r="F128" s="19" t="s">
        <v>173</v>
      </c>
      <c r="G128" s="124" t="s">
        <v>174</v>
      </c>
    </row>
    <row r="129" spans="1:7" x14ac:dyDescent="0.25">
      <c r="A129" s="125" t="s">
        <v>18</v>
      </c>
      <c r="B129" s="12" t="s">
        <v>175</v>
      </c>
      <c r="C129" s="21">
        <v>4000</v>
      </c>
      <c r="D129" s="30">
        <v>26257</v>
      </c>
      <c r="E129" s="30">
        <f>D129*13%</f>
        <v>3413.4100000000003</v>
      </c>
      <c r="F129" s="30">
        <f>D129*27.1%</f>
        <v>7115.6470000000008</v>
      </c>
      <c r="G129" s="129">
        <f>D129-E129</f>
        <v>22843.59</v>
      </c>
    </row>
    <row r="130" spans="1:7" x14ac:dyDescent="0.25">
      <c r="A130" s="125" t="s">
        <v>19</v>
      </c>
      <c r="B130" s="17" t="s">
        <v>176</v>
      </c>
      <c r="C130" s="21">
        <v>4800</v>
      </c>
      <c r="D130" s="30">
        <v>29040</v>
      </c>
      <c r="E130" s="30">
        <f>D130*13%</f>
        <v>3775.2000000000003</v>
      </c>
      <c r="F130" s="30">
        <f>D130*30.2%</f>
        <v>8770.08</v>
      </c>
      <c r="G130" s="129">
        <f>D130-E130</f>
        <v>25264.799999999999</v>
      </c>
    </row>
    <row r="131" spans="1:7" x14ac:dyDescent="0.25">
      <c r="A131" s="125" t="s">
        <v>20</v>
      </c>
      <c r="B131" s="17" t="s">
        <v>177</v>
      </c>
      <c r="C131" s="21">
        <v>2700</v>
      </c>
      <c r="D131" s="159">
        <v>19550</v>
      </c>
      <c r="E131" s="30">
        <f>D131*13%</f>
        <v>2541.5</v>
      </c>
      <c r="F131" s="30">
        <f>D131*30.2%</f>
        <v>5904.0999999999995</v>
      </c>
      <c r="G131" s="129">
        <f>D131-E131</f>
        <v>17008.5</v>
      </c>
    </row>
    <row r="132" spans="1:7" x14ac:dyDescent="0.25">
      <c r="A132" s="125" t="s">
        <v>21</v>
      </c>
      <c r="B132" s="17" t="s">
        <v>178</v>
      </c>
      <c r="C132" s="21">
        <v>900</v>
      </c>
      <c r="D132" s="30">
        <v>5524.7182199999997</v>
      </c>
      <c r="E132" s="30">
        <f>D132*13%</f>
        <v>718.21336859999997</v>
      </c>
      <c r="F132" s="30">
        <f t="shared" ref="F132:F138" si="27">D132*30.2%</f>
        <v>1668.4649024399998</v>
      </c>
      <c r="G132" s="129">
        <f t="shared" ref="G132:G136" si="28">D132-E132</f>
        <v>4806.5048514</v>
      </c>
    </row>
    <row r="133" spans="1:7" x14ac:dyDescent="0.25">
      <c r="A133" s="125" t="s">
        <v>23</v>
      </c>
      <c r="B133" s="12" t="s">
        <v>179</v>
      </c>
      <c r="C133" s="21">
        <v>2300</v>
      </c>
      <c r="D133" s="30">
        <v>12650.000000000002</v>
      </c>
      <c r="E133" s="30">
        <f t="shared" ref="E133:E134" si="29">D133*13%</f>
        <v>1644.5000000000002</v>
      </c>
      <c r="F133" s="30">
        <f t="shared" si="27"/>
        <v>3820.3000000000006</v>
      </c>
      <c r="G133" s="129">
        <f t="shared" si="28"/>
        <v>11005.500000000002</v>
      </c>
    </row>
    <row r="134" spans="1:7" x14ac:dyDescent="0.25">
      <c r="A134" s="125" t="s">
        <v>25</v>
      </c>
      <c r="B134" s="17" t="s">
        <v>180</v>
      </c>
      <c r="C134" s="21">
        <v>1500</v>
      </c>
      <c r="D134" s="159">
        <v>8951.25</v>
      </c>
      <c r="E134" s="30">
        <f t="shared" si="29"/>
        <v>1163.6625000000001</v>
      </c>
      <c r="F134" s="30">
        <f t="shared" si="27"/>
        <v>2703.2774999999997</v>
      </c>
      <c r="G134" s="129">
        <f t="shared" si="28"/>
        <v>7787.5874999999996</v>
      </c>
    </row>
    <row r="135" spans="1:7" x14ac:dyDescent="0.25">
      <c r="A135" s="125" t="s">
        <v>27</v>
      </c>
      <c r="B135" s="17" t="s">
        <v>181</v>
      </c>
      <c r="C135" s="21">
        <v>2100</v>
      </c>
      <c r="D135" s="30">
        <v>13942.53</v>
      </c>
      <c r="E135" s="30">
        <f>D135*13%</f>
        <v>1812.5289000000002</v>
      </c>
      <c r="F135" s="30">
        <f t="shared" si="27"/>
        <v>4210.6440599999996</v>
      </c>
      <c r="G135" s="129">
        <f t="shared" si="28"/>
        <v>12130.001100000001</v>
      </c>
    </row>
    <row r="136" spans="1:7" x14ac:dyDescent="0.25">
      <c r="A136" s="125" t="s">
        <v>29</v>
      </c>
      <c r="B136" s="17" t="s">
        <v>181</v>
      </c>
      <c r="C136" s="21">
        <v>2100</v>
      </c>
      <c r="D136" s="30">
        <v>13942.53</v>
      </c>
      <c r="E136" s="30">
        <f>D136*13%</f>
        <v>1812.5289000000002</v>
      </c>
      <c r="F136" s="30">
        <f t="shared" si="27"/>
        <v>4210.6440599999996</v>
      </c>
      <c r="G136" s="129">
        <f t="shared" si="28"/>
        <v>12130.001100000001</v>
      </c>
    </row>
    <row r="137" spans="1:7" x14ac:dyDescent="0.25">
      <c r="A137" s="125" t="s">
        <v>30</v>
      </c>
      <c r="B137" s="12" t="s">
        <v>182</v>
      </c>
      <c r="C137" s="21">
        <v>2200</v>
      </c>
      <c r="D137" s="159">
        <v>14061.499</v>
      </c>
      <c r="E137" s="30">
        <f>D137*13%</f>
        <v>1827.99487</v>
      </c>
      <c r="F137" s="30">
        <f t="shared" si="27"/>
        <v>4246.5726979999999</v>
      </c>
      <c r="G137" s="129">
        <f>D137-E137</f>
        <v>12233.504129999999</v>
      </c>
    </row>
    <row r="138" spans="1:7" x14ac:dyDescent="0.25">
      <c r="A138" s="125" t="s">
        <v>32</v>
      </c>
      <c r="B138" s="12" t="s">
        <v>182</v>
      </c>
      <c r="C138" s="21">
        <v>2200</v>
      </c>
      <c r="D138" s="159">
        <v>14061.499</v>
      </c>
      <c r="E138" s="30">
        <f t="shared" ref="E138" si="30">D138*13%</f>
        <v>1827.99487</v>
      </c>
      <c r="F138" s="30">
        <f t="shared" si="27"/>
        <v>4246.5726979999999</v>
      </c>
      <c r="G138" s="129">
        <f>D138-E138</f>
        <v>12233.504129999999</v>
      </c>
    </row>
    <row r="139" spans="1:7" x14ac:dyDescent="0.25">
      <c r="A139" s="183" t="s">
        <v>183</v>
      </c>
      <c r="B139" s="184"/>
      <c r="C139" s="21">
        <f>SUM(C129:C138)</f>
        <v>24800</v>
      </c>
      <c r="D139" s="21">
        <f>SUM(D129:D138)</f>
        <v>157981.02622</v>
      </c>
      <c r="E139" s="21">
        <f t="shared" ref="E139" si="31">SUM(E129:E138)</f>
        <v>20537.5334086</v>
      </c>
      <c r="F139" s="21">
        <f>SUM(F129:F138)</f>
        <v>46896.302918440007</v>
      </c>
      <c r="G139" s="30">
        <f>SUM(G129:G138)</f>
        <v>137443.49281139998</v>
      </c>
    </row>
    <row r="140" spans="1:7" x14ac:dyDescent="0.25">
      <c r="A140" s="110"/>
      <c r="B140" s="110"/>
      <c r="C140" s="87"/>
      <c r="D140" s="87"/>
      <c r="E140" s="87"/>
      <c r="F140" s="87"/>
      <c r="G140" s="158"/>
    </row>
    <row r="142" spans="1:7" x14ac:dyDescent="0.25">
      <c r="A142" s="182" t="s">
        <v>214</v>
      </c>
      <c r="B142" s="182"/>
      <c r="C142" s="182"/>
      <c r="D142" s="182"/>
      <c r="E142" s="182"/>
      <c r="F142" s="182"/>
    </row>
    <row r="144" spans="1:7" ht="30" x14ac:dyDescent="0.25">
      <c r="A144" s="121" t="s">
        <v>168</v>
      </c>
      <c r="B144" s="122" t="s">
        <v>169</v>
      </c>
      <c r="C144" s="101" t="s">
        <v>170</v>
      </c>
      <c r="D144" s="123" t="s">
        <v>171</v>
      </c>
      <c r="E144" s="123" t="s">
        <v>172</v>
      </c>
      <c r="F144" s="19" t="s">
        <v>173</v>
      </c>
      <c r="G144" s="124" t="s">
        <v>174</v>
      </c>
    </row>
    <row r="145" spans="1:8" x14ac:dyDescent="0.25">
      <c r="A145" s="125" t="s">
        <v>18</v>
      </c>
      <c r="B145" s="12" t="s">
        <v>175</v>
      </c>
      <c r="C145" s="21">
        <v>4000</v>
      </c>
      <c r="D145" s="30">
        <f>26257</f>
        <v>26257</v>
      </c>
      <c r="E145" s="30">
        <f>D145*13%</f>
        <v>3413.4100000000003</v>
      </c>
      <c r="F145" s="30">
        <f>D145*27.1%</f>
        <v>7115.6470000000008</v>
      </c>
      <c r="G145" s="129">
        <f>D145-E145</f>
        <v>22843.59</v>
      </c>
      <c r="H145" s="98"/>
    </row>
    <row r="146" spans="1:8" x14ac:dyDescent="0.25">
      <c r="A146" s="125" t="s">
        <v>19</v>
      </c>
      <c r="B146" s="17" t="s">
        <v>176</v>
      </c>
      <c r="C146" s="21">
        <v>4800</v>
      </c>
      <c r="D146" s="30">
        <f>29040</f>
        <v>29040</v>
      </c>
      <c r="E146" s="30">
        <f>D146*13%</f>
        <v>3775.2000000000003</v>
      </c>
      <c r="F146" s="30">
        <f>D146*30.2%</f>
        <v>8770.08</v>
      </c>
      <c r="G146" s="129">
        <f>D146-E146</f>
        <v>25264.799999999999</v>
      </c>
    </row>
    <row r="147" spans="1:8" x14ac:dyDescent="0.25">
      <c r="A147" s="125" t="s">
        <v>20</v>
      </c>
      <c r="B147" s="17" t="s">
        <v>177</v>
      </c>
      <c r="C147" s="21">
        <v>2700</v>
      </c>
      <c r="D147" s="159">
        <v>21000</v>
      </c>
      <c r="E147" s="30">
        <f>D147*13%</f>
        <v>2730</v>
      </c>
      <c r="F147" s="30">
        <f>D147*30.2%</f>
        <v>6342</v>
      </c>
      <c r="G147" s="129">
        <f>D147-E147</f>
        <v>18270</v>
      </c>
    </row>
    <row r="148" spans="1:8" x14ac:dyDescent="0.25">
      <c r="A148" s="125" t="s">
        <v>21</v>
      </c>
      <c r="B148" s="17" t="s">
        <v>178</v>
      </c>
      <c r="C148" s="21">
        <v>900</v>
      </c>
      <c r="D148" s="30">
        <f>5524.71822</f>
        <v>5524.7182199999997</v>
      </c>
      <c r="E148" s="30">
        <f>D148*13%</f>
        <v>718.21336859999997</v>
      </c>
      <c r="F148" s="30">
        <f t="shared" ref="F148:F154" si="32">D148*30.2%</f>
        <v>1668.4649024399998</v>
      </c>
      <c r="G148" s="129">
        <f t="shared" ref="G148:G152" si="33">D148-E148</f>
        <v>4806.5048514</v>
      </c>
    </row>
    <row r="149" spans="1:8" x14ac:dyDescent="0.25">
      <c r="A149" s="125" t="s">
        <v>23</v>
      </c>
      <c r="B149" s="12" t="s">
        <v>179</v>
      </c>
      <c r="C149" s="21">
        <v>2300</v>
      </c>
      <c r="D149" s="30">
        <f>12650</f>
        <v>12650</v>
      </c>
      <c r="E149" s="30">
        <f t="shared" ref="E149:E150" si="34">D149*13%</f>
        <v>1644.5</v>
      </c>
      <c r="F149" s="30">
        <f t="shared" si="32"/>
        <v>3820.2999999999997</v>
      </c>
      <c r="G149" s="129">
        <f t="shared" si="33"/>
        <v>11005.5</v>
      </c>
    </row>
    <row r="150" spans="1:8" x14ac:dyDescent="0.25">
      <c r="A150" s="125" t="s">
        <v>25</v>
      </c>
      <c r="B150" s="17" t="s">
        <v>180</v>
      </c>
      <c r="C150" s="21">
        <v>1500</v>
      </c>
      <c r="D150" s="159">
        <f>8951.25*1.1</f>
        <v>9846.375</v>
      </c>
      <c r="E150" s="30">
        <f t="shared" si="34"/>
        <v>1280.0287499999999</v>
      </c>
      <c r="F150" s="30">
        <f t="shared" si="32"/>
        <v>2973.6052500000001</v>
      </c>
      <c r="G150" s="129">
        <f t="shared" si="33"/>
        <v>8566.3462500000005</v>
      </c>
    </row>
    <row r="151" spans="1:8" x14ac:dyDescent="0.25">
      <c r="A151" s="125" t="s">
        <v>27</v>
      </c>
      <c r="B151" s="17" t="s">
        <v>181</v>
      </c>
      <c r="C151" s="21">
        <v>2100</v>
      </c>
      <c r="D151" s="30">
        <f>13942.53</f>
        <v>13942.53</v>
      </c>
      <c r="E151" s="30">
        <f>D151*13%</f>
        <v>1812.5289000000002</v>
      </c>
      <c r="F151" s="30">
        <f t="shared" si="32"/>
        <v>4210.6440599999996</v>
      </c>
      <c r="G151" s="129">
        <f t="shared" si="33"/>
        <v>12130.001100000001</v>
      </c>
    </row>
    <row r="152" spans="1:8" x14ac:dyDescent="0.25">
      <c r="A152" s="125" t="s">
        <v>29</v>
      </c>
      <c r="B152" s="17" t="s">
        <v>181</v>
      </c>
      <c r="C152" s="21">
        <v>2100</v>
      </c>
      <c r="D152" s="30">
        <f>13942.53</f>
        <v>13942.53</v>
      </c>
      <c r="E152" s="30">
        <f>D152*13%</f>
        <v>1812.5289000000002</v>
      </c>
      <c r="F152" s="30">
        <f t="shared" si="32"/>
        <v>4210.6440599999996</v>
      </c>
      <c r="G152" s="129">
        <f t="shared" si="33"/>
        <v>12130.001100000001</v>
      </c>
    </row>
    <row r="153" spans="1:8" x14ac:dyDescent="0.25">
      <c r="A153" s="125" t="s">
        <v>30</v>
      </c>
      <c r="B153" s="12" t="s">
        <v>182</v>
      </c>
      <c r="C153" s="21">
        <v>2200</v>
      </c>
      <c r="D153" s="159">
        <v>17242</v>
      </c>
      <c r="E153" s="30">
        <f>D153*13%</f>
        <v>2241.46</v>
      </c>
      <c r="F153" s="30">
        <f t="shared" si="32"/>
        <v>5207.0839999999998</v>
      </c>
      <c r="G153" s="129">
        <f>D153-E153</f>
        <v>15000.54</v>
      </c>
    </row>
    <row r="154" spans="1:8" x14ac:dyDescent="0.25">
      <c r="A154" s="125" t="s">
        <v>32</v>
      </c>
      <c r="B154" s="12" t="s">
        <v>182</v>
      </c>
      <c r="C154" s="21">
        <v>2200</v>
      </c>
      <c r="D154" s="159">
        <v>17242</v>
      </c>
      <c r="E154" s="30">
        <f t="shared" ref="E154" si="35">D154*13%</f>
        <v>2241.46</v>
      </c>
      <c r="F154" s="30">
        <f t="shared" si="32"/>
        <v>5207.0839999999998</v>
      </c>
      <c r="G154" s="129">
        <f>D154-E154</f>
        <v>15000.54</v>
      </c>
    </row>
    <row r="155" spans="1:8" x14ac:dyDescent="0.25">
      <c r="A155" s="183" t="s">
        <v>183</v>
      </c>
      <c r="B155" s="184"/>
      <c r="C155" s="21">
        <f>SUM(C145:C154)</f>
        <v>24800</v>
      </c>
      <c r="D155" s="21">
        <f>SUM(D145:D154)</f>
        <v>166687.15322000001</v>
      </c>
      <c r="E155" s="21">
        <f>SUM(E145:E154)</f>
        <v>21669.3299186</v>
      </c>
      <c r="F155" s="21">
        <f>SUM(F145:F154)</f>
        <v>49525.553272440004</v>
      </c>
      <c r="G155" s="30">
        <f>SUM(G145:G154)</f>
        <v>145017.8233014</v>
      </c>
    </row>
    <row r="157" spans="1:8" x14ac:dyDescent="0.25">
      <c r="A157" s="182" t="s">
        <v>215</v>
      </c>
      <c r="B157" s="182"/>
      <c r="C157" s="182"/>
      <c r="D157" s="182"/>
      <c r="E157" s="182"/>
      <c r="F157" s="182"/>
    </row>
    <row r="159" spans="1:8" ht="30" x14ac:dyDescent="0.25">
      <c r="A159" s="121" t="s">
        <v>168</v>
      </c>
      <c r="B159" s="122" t="s">
        <v>169</v>
      </c>
      <c r="C159" s="101" t="s">
        <v>170</v>
      </c>
      <c r="D159" s="123" t="s">
        <v>171</v>
      </c>
      <c r="E159" s="123" t="s">
        <v>172</v>
      </c>
      <c r="F159" s="19" t="s">
        <v>173</v>
      </c>
      <c r="G159" s="124" t="s">
        <v>174</v>
      </c>
    </row>
    <row r="160" spans="1:8" x14ac:dyDescent="0.25">
      <c r="A160" s="125" t="s">
        <v>18</v>
      </c>
      <c r="B160" s="12" t="s">
        <v>175</v>
      </c>
      <c r="C160" s="21">
        <v>4000</v>
      </c>
      <c r="D160" s="21">
        <v>26257</v>
      </c>
      <c r="E160" s="21">
        <f>D160*13%</f>
        <v>3413.4100000000003</v>
      </c>
      <c r="F160" s="21">
        <f>D160*27.1%</f>
        <v>7115.6470000000008</v>
      </c>
      <c r="G160" s="129">
        <f>D160-E160</f>
        <v>22843.59</v>
      </c>
    </row>
    <row r="161" spans="1:7" x14ac:dyDescent="0.25">
      <c r="A161" s="125" t="s">
        <v>19</v>
      </c>
      <c r="B161" s="17" t="s">
        <v>176</v>
      </c>
      <c r="C161" s="21">
        <v>4800</v>
      </c>
      <c r="D161" s="21">
        <v>29040</v>
      </c>
      <c r="E161" s="21">
        <f>D161*13%</f>
        <v>3775.2000000000003</v>
      </c>
      <c r="F161" s="21">
        <f>D161*30.2%</f>
        <v>8770.08</v>
      </c>
      <c r="G161" s="129">
        <f>D161-E161</f>
        <v>25264.799999999999</v>
      </c>
    </row>
    <row r="162" spans="1:7" x14ac:dyDescent="0.25">
      <c r="A162" s="125" t="s">
        <v>20</v>
      </c>
      <c r="B162" s="17" t="s">
        <v>177</v>
      </c>
      <c r="C162" s="21">
        <v>2700</v>
      </c>
      <c r="D162" s="21">
        <v>21000</v>
      </c>
      <c r="E162" s="21">
        <f>D162*13%</f>
        <v>2730</v>
      </c>
      <c r="F162" s="21">
        <f>D162*30.2%</f>
        <v>6342</v>
      </c>
      <c r="G162" s="129">
        <f>D162-E162</f>
        <v>18270</v>
      </c>
    </row>
    <row r="163" spans="1:7" x14ac:dyDescent="0.25">
      <c r="A163" s="125" t="s">
        <v>21</v>
      </c>
      <c r="B163" s="17" t="s">
        <v>178</v>
      </c>
      <c r="C163" s="21">
        <v>900</v>
      </c>
      <c r="D163" s="21">
        <v>5524.7182199999997</v>
      </c>
      <c r="E163" s="21">
        <f>D163*13%</f>
        <v>718.21336859999997</v>
      </c>
      <c r="F163" s="21">
        <f t="shared" ref="F163:F169" si="36">D163*30.2%</f>
        <v>1668.4649024399998</v>
      </c>
      <c r="G163" s="129">
        <f t="shared" ref="G163:G167" si="37">D163-E163</f>
        <v>4806.5048514</v>
      </c>
    </row>
    <row r="164" spans="1:7" x14ac:dyDescent="0.25">
      <c r="A164" s="125" t="s">
        <v>23</v>
      </c>
      <c r="B164" s="12" t="s">
        <v>179</v>
      </c>
      <c r="C164" s="21">
        <v>2300</v>
      </c>
      <c r="D164" s="21">
        <v>12650.000000000002</v>
      </c>
      <c r="E164" s="21">
        <f t="shared" ref="E164:E165" si="38">D164*13%</f>
        <v>1644.5000000000002</v>
      </c>
      <c r="F164" s="21">
        <f t="shared" si="36"/>
        <v>3820.3000000000006</v>
      </c>
      <c r="G164" s="129">
        <f t="shared" si="37"/>
        <v>11005.500000000002</v>
      </c>
    </row>
    <row r="165" spans="1:7" x14ac:dyDescent="0.25">
      <c r="A165" s="125" t="s">
        <v>25</v>
      </c>
      <c r="B165" s="17" t="s">
        <v>180</v>
      </c>
      <c r="C165" s="21">
        <v>1500</v>
      </c>
      <c r="D165" s="21">
        <v>9846.375</v>
      </c>
      <c r="E165" s="21">
        <f t="shared" si="38"/>
        <v>1280.0287499999999</v>
      </c>
      <c r="F165" s="21">
        <f t="shared" si="36"/>
        <v>2973.6052500000001</v>
      </c>
      <c r="G165" s="129">
        <f t="shared" si="37"/>
        <v>8566.3462500000005</v>
      </c>
    </row>
    <row r="166" spans="1:7" x14ac:dyDescent="0.25">
      <c r="A166" s="125" t="s">
        <v>27</v>
      </c>
      <c r="B166" s="17" t="s">
        <v>181</v>
      </c>
      <c r="C166" s="21">
        <v>2100</v>
      </c>
      <c r="D166" s="21">
        <v>13942.53</v>
      </c>
      <c r="E166" s="21">
        <f>D166*13%</f>
        <v>1812.5289000000002</v>
      </c>
      <c r="F166" s="21">
        <f t="shared" si="36"/>
        <v>4210.6440599999996</v>
      </c>
      <c r="G166" s="129">
        <f t="shared" si="37"/>
        <v>12130.001100000001</v>
      </c>
    </row>
    <row r="167" spans="1:7" x14ac:dyDescent="0.25">
      <c r="A167" s="125" t="s">
        <v>29</v>
      </c>
      <c r="B167" s="17" t="s">
        <v>181</v>
      </c>
      <c r="C167" s="21">
        <v>2100</v>
      </c>
      <c r="D167" s="21">
        <v>13942.53</v>
      </c>
      <c r="E167" s="21">
        <f>D167*13%</f>
        <v>1812.5289000000002</v>
      </c>
      <c r="F167" s="21">
        <f t="shared" si="36"/>
        <v>4210.6440599999996</v>
      </c>
      <c r="G167" s="129">
        <f t="shared" si="37"/>
        <v>12130.001100000001</v>
      </c>
    </row>
    <row r="168" spans="1:7" x14ac:dyDescent="0.25">
      <c r="A168" s="125" t="s">
        <v>30</v>
      </c>
      <c r="B168" s="12" t="s">
        <v>182</v>
      </c>
      <c r="C168" s="21">
        <v>2200</v>
      </c>
      <c r="D168" s="21">
        <v>20690</v>
      </c>
      <c r="E168" s="21">
        <f>D168*13%</f>
        <v>2689.7000000000003</v>
      </c>
      <c r="F168" s="21">
        <f t="shared" si="36"/>
        <v>6248.38</v>
      </c>
      <c r="G168" s="129">
        <f>D168-E168</f>
        <v>18000.3</v>
      </c>
    </row>
    <row r="169" spans="1:7" x14ac:dyDescent="0.25">
      <c r="A169" s="125" t="s">
        <v>32</v>
      </c>
      <c r="B169" s="12" t="s">
        <v>182</v>
      </c>
      <c r="C169" s="21">
        <v>2200</v>
      </c>
      <c r="D169" s="21">
        <v>20690</v>
      </c>
      <c r="E169" s="21">
        <f t="shared" ref="E169" si="39">D169*13%</f>
        <v>2689.7000000000003</v>
      </c>
      <c r="F169" s="21">
        <f t="shared" si="36"/>
        <v>6248.38</v>
      </c>
      <c r="G169" s="129">
        <f>D169-E169</f>
        <v>18000.3</v>
      </c>
    </row>
    <row r="170" spans="1:7" x14ac:dyDescent="0.25">
      <c r="A170" s="183" t="s">
        <v>183</v>
      </c>
      <c r="B170" s="184"/>
      <c r="C170" s="21">
        <f>SUM(C160:C169)</f>
        <v>24800</v>
      </c>
      <c r="D170" s="21">
        <f>SUM(D160:D169)</f>
        <v>173583.15322000001</v>
      </c>
      <c r="E170" s="21">
        <f>SUM(E160:E169)</f>
        <v>22565.809918600004</v>
      </c>
      <c r="F170" s="21">
        <f>SUM(F160:F169)</f>
        <v>51608.145272439993</v>
      </c>
      <c r="G170" s="30">
        <f>SUM(G160:G169)</f>
        <v>151017.34330139996</v>
      </c>
    </row>
    <row r="173" spans="1:7" hidden="1" x14ac:dyDescent="0.25">
      <c r="A173" s="137" t="s">
        <v>209</v>
      </c>
      <c r="B173" s="138"/>
      <c r="C173" s="138"/>
      <c r="D173" s="138"/>
      <c r="E173" s="138"/>
      <c r="F173" s="139"/>
      <c r="G173" s="138"/>
    </row>
    <row r="174" spans="1:7" hidden="1" x14ac:dyDescent="0.25">
      <c r="B174" s="135"/>
      <c r="C174" s="135"/>
      <c r="D174" s="135"/>
      <c r="E174" s="135"/>
      <c r="F174" s="136"/>
      <c r="G174" s="135"/>
    </row>
    <row r="175" spans="1:7" ht="30" hidden="1" x14ac:dyDescent="0.25">
      <c r="A175" s="121" t="s">
        <v>168</v>
      </c>
      <c r="B175" s="122" t="s">
        <v>169</v>
      </c>
      <c r="C175" s="101" t="s">
        <v>170</v>
      </c>
      <c r="D175" s="123" t="s">
        <v>171</v>
      </c>
      <c r="E175" s="123" t="s">
        <v>172</v>
      </c>
      <c r="F175" s="19" t="s">
        <v>173</v>
      </c>
      <c r="G175" s="124" t="s">
        <v>174</v>
      </c>
    </row>
    <row r="176" spans="1:7" hidden="1" x14ac:dyDescent="0.25">
      <c r="A176" s="125" t="s">
        <v>18</v>
      </c>
      <c r="B176" s="12" t="s">
        <v>175</v>
      </c>
      <c r="C176" s="21">
        <v>4000</v>
      </c>
      <c r="D176" s="30">
        <f t="shared" ref="D176:D185" si="40">((D114*2)+(D129*4)+(D145*6))/12</f>
        <v>26257</v>
      </c>
      <c r="E176" s="30">
        <f>D176*13%</f>
        <v>3413.4100000000003</v>
      </c>
      <c r="F176" s="30">
        <f>D176*30.2%</f>
        <v>7929.6139999999996</v>
      </c>
      <c r="G176" s="129">
        <f>D176-E176</f>
        <v>22843.59</v>
      </c>
    </row>
    <row r="177" spans="1:7" hidden="1" x14ac:dyDescent="0.25">
      <c r="A177" s="125" t="s">
        <v>19</v>
      </c>
      <c r="B177" s="17" t="s">
        <v>176</v>
      </c>
      <c r="C177" s="21">
        <v>4800</v>
      </c>
      <c r="D177" s="30">
        <f t="shared" si="40"/>
        <v>29040</v>
      </c>
      <c r="E177" s="30">
        <f>D177*13%</f>
        <v>3775.2000000000003</v>
      </c>
      <c r="F177" s="30">
        <f>D177*30.2%</f>
        <v>8770.08</v>
      </c>
      <c r="G177" s="129">
        <f>D177-E177</f>
        <v>25264.799999999999</v>
      </c>
    </row>
    <row r="178" spans="1:7" hidden="1" x14ac:dyDescent="0.25">
      <c r="A178" s="125" t="s">
        <v>20</v>
      </c>
      <c r="B178" s="17" t="s">
        <v>177</v>
      </c>
      <c r="C178" s="21">
        <v>2700</v>
      </c>
      <c r="D178" s="30">
        <f t="shared" si="40"/>
        <v>20275</v>
      </c>
      <c r="E178" s="30">
        <f>D178*13%</f>
        <v>2635.75</v>
      </c>
      <c r="F178" s="30">
        <f>D178*30.2%</f>
        <v>6123.05</v>
      </c>
      <c r="G178" s="129">
        <f>D178-E178</f>
        <v>17639.25</v>
      </c>
    </row>
    <row r="179" spans="1:7" hidden="1" x14ac:dyDescent="0.25">
      <c r="A179" s="125" t="s">
        <v>21</v>
      </c>
      <c r="B179" s="17" t="s">
        <v>178</v>
      </c>
      <c r="C179" s="21">
        <v>900</v>
      </c>
      <c r="D179" s="30">
        <f t="shared" si="40"/>
        <v>5524.7182199999997</v>
      </c>
      <c r="E179" s="30">
        <f>D179*13%</f>
        <v>718.21336859999997</v>
      </c>
      <c r="F179" s="30">
        <f t="shared" ref="F179" si="41">D179*30.2%</f>
        <v>1668.4649024399998</v>
      </c>
      <c r="G179" s="129">
        <f t="shared" ref="G179:G183" si="42">D179-E179</f>
        <v>4806.5048514</v>
      </c>
    </row>
    <row r="180" spans="1:7" hidden="1" x14ac:dyDescent="0.25">
      <c r="A180" s="125" t="s">
        <v>23</v>
      </c>
      <c r="B180" s="12" t="s">
        <v>179</v>
      </c>
      <c r="C180" s="21">
        <v>2300</v>
      </c>
      <c r="D180" s="30">
        <f t="shared" si="40"/>
        <v>12650</v>
      </c>
      <c r="E180" s="30">
        <f t="shared" ref="E180" si="43">D180*13%</f>
        <v>1644.5</v>
      </c>
      <c r="F180" s="30">
        <f t="shared" ref="F180:F185" si="44">D180*30.2%</f>
        <v>3820.2999999999997</v>
      </c>
      <c r="G180" s="129">
        <f t="shared" si="42"/>
        <v>11005.5</v>
      </c>
    </row>
    <row r="181" spans="1:7" hidden="1" x14ac:dyDescent="0.25">
      <c r="A181" s="125" t="s">
        <v>25</v>
      </c>
      <c r="B181" s="17" t="s">
        <v>180</v>
      </c>
      <c r="C181" s="21">
        <v>1500</v>
      </c>
      <c r="D181" s="30">
        <f t="shared" si="40"/>
        <v>9398.8125</v>
      </c>
      <c r="E181" s="30">
        <f>D181*13%</f>
        <v>1221.8456250000002</v>
      </c>
      <c r="F181" s="30">
        <f t="shared" si="44"/>
        <v>2838.4413749999999</v>
      </c>
      <c r="G181" s="129">
        <f t="shared" si="42"/>
        <v>8176.9668750000001</v>
      </c>
    </row>
    <row r="182" spans="1:7" hidden="1" x14ac:dyDescent="0.25">
      <c r="A182" s="125" t="s">
        <v>27</v>
      </c>
      <c r="B182" s="17" t="s">
        <v>181</v>
      </c>
      <c r="C182" s="21">
        <v>2100</v>
      </c>
      <c r="D182" s="30">
        <f t="shared" si="40"/>
        <v>13942.53</v>
      </c>
      <c r="E182" s="30">
        <f>D182*13%</f>
        <v>1812.5289000000002</v>
      </c>
      <c r="F182" s="30">
        <f t="shared" si="44"/>
        <v>4210.6440599999996</v>
      </c>
      <c r="G182" s="129">
        <f t="shared" si="42"/>
        <v>12130.001100000001</v>
      </c>
    </row>
    <row r="183" spans="1:7" hidden="1" x14ac:dyDescent="0.25">
      <c r="A183" s="125" t="s">
        <v>29</v>
      </c>
      <c r="B183" s="17" t="s">
        <v>181</v>
      </c>
      <c r="C183" s="21">
        <v>2100</v>
      </c>
      <c r="D183" s="30">
        <f t="shared" si="40"/>
        <v>13942.53</v>
      </c>
      <c r="E183" s="30">
        <f>D183*13%</f>
        <v>1812.5289000000002</v>
      </c>
      <c r="F183" s="30">
        <f t="shared" si="44"/>
        <v>4210.6440599999996</v>
      </c>
      <c r="G183" s="129">
        <f t="shared" si="42"/>
        <v>12130.001100000001</v>
      </c>
    </row>
    <row r="184" spans="1:7" hidden="1" x14ac:dyDescent="0.25">
      <c r="A184" s="125" t="s">
        <v>30</v>
      </c>
      <c r="B184" s="12" t="s">
        <v>182</v>
      </c>
      <c r="C184" s="21">
        <v>2200</v>
      </c>
      <c r="D184" s="30">
        <f t="shared" si="40"/>
        <v>16756.499666666667</v>
      </c>
      <c r="E184" s="30">
        <f>D184*13%</f>
        <v>2178.3449566666668</v>
      </c>
      <c r="F184" s="30">
        <f t="shared" si="44"/>
        <v>5060.4628993333336</v>
      </c>
      <c r="G184" s="129">
        <f>D184-E184</f>
        <v>14578.154709999999</v>
      </c>
    </row>
    <row r="185" spans="1:7" hidden="1" x14ac:dyDescent="0.25">
      <c r="A185" s="125" t="s">
        <v>32</v>
      </c>
      <c r="B185" s="12" t="s">
        <v>182</v>
      </c>
      <c r="C185" s="21">
        <v>2200</v>
      </c>
      <c r="D185" s="30">
        <f t="shared" si="40"/>
        <v>16756.499666666667</v>
      </c>
      <c r="E185" s="30">
        <f t="shared" ref="E185" si="45">D185*13%</f>
        <v>2178.3449566666668</v>
      </c>
      <c r="F185" s="30">
        <f t="shared" si="44"/>
        <v>5060.4628993333336</v>
      </c>
      <c r="G185" s="129">
        <f>D185-E185</f>
        <v>14578.154709999999</v>
      </c>
    </row>
    <row r="186" spans="1:7" hidden="1" x14ac:dyDescent="0.25">
      <c r="A186" s="183" t="s">
        <v>183</v>
      </c>
      <c r="B186" s="184"/>
      <c r="C186" s="21">
        <f>SUM(C176:C185)</f>
        <v>24800</v>
      </c>
      <c r="D186" s="30">
        <f>SUM(D176:D185)</f>
        <v>164543.59005333332</v>
      </c>
      <c r="E186" s="30">
        <f>SUM(E176:E185)</f>
        <v>21390.666706933338</v>
      </c>
      <c r="F186" s="30">
        <f>SUM(F176:F185)</f>
        <v>49692.164196106656</v>
      </c>
      <c r="G186" s="30">
        <f>SUM(G176:G185)</f>
        <v>143152.9233464</v>
      </c>
    </row>
    <row r="187" spans="1:7" hidden="1" x14ac:dyDescent="0.25"/>
    <row r="188" spans="1:7" hidden="1" x14ac:dyDescent="0.25">
      <c r="D188" s="80">
        <f>D186*12</f>
        <v>1974523.0806399998</v>
      </c>
    </row>
    <row r="189" spans="1:7" hidden="1" x14ac:dyDescent="0.25"/>
    <row r="190" spans="1:7" hidden="1" x14ac:dyDescent="0.25"/>
    <row r="191" spans="1:7" hidden="1" x14ac:dyDescent="0.25"/>
    <row r="192" spans="1:7" hidden="1" x14ac:dyDescent="0.25"/>
    <row r="193" spans="4:4" hidden="1" x14ac:dyDescent="0.25">
      <c r="D193" s="160">
        <f>D170+F170</f>
        <v>225191.29849243999</v>
      </c>
    </row>
  </sheetData>
  <mergeCells count="35">
    <mergeCell ref="A15:F15"/>
    <mergeCell ref="F17:F30"/>
    <mergeCell ref="D11:E12"/>
    <mergeCell ref="F11:F12"/>
    <mergeCell ref="D13:D14"/>
    <mergeCell ref="E13:E14"/>
    <mergeCell ref="F13:F14"/>
    <mergeCell ref="A7:B7"/>
    <mergeCell ref="A8:B8"/>
    <mergeCell ref="A9:B9"/>
    <mergeCell ref="A11:A14"/>
    <mergeCell ref="B11:B14"/>
    <mergeCell ref="A94:B94"/>
    <mergeCell ref="A39:F39"/>
    <mergeCell ref="F42:G42"/>
    <mergeCell ref="A43:A44"/>
    <mergeCell ref="F43:G43"/>
    <mergeCell ref="A45:A46"/>
    <mergeCell ref="A49:F49"/>
    <mergeCell ref="A51:F51"/>
    <mergeCell ref="A64:B64"/>
    <mergeCell ref="A66:F66"/>
    <mergeCell ref="A79:B79"/>
    <mergeCell ref="A81:F81"/>
    <mergeCell ref="A142:F142"/>
    <mergeCell ref="A155:B155"/>
    <mergeCell ref="A186:B186"/>
    <mergeCell ref="A96:F96"/>
    <mergeCell ref="A109:B109"/>
    <mergeCell ref="A111:F111"/>
    <mergeCell ref="A124:B124"/>
    <mergeCell ref="A126:F126"/>
    <mergeCell ref="A139:B139"/>
    <mergeCell ref="A157:F157"/>
    <mergeCell ref="A170:B17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workbookViewId="0">
      <selection activeCell="O38" sqref="O38"/>
    </sheetView>
  </sheetViews>
  <sheetFormatPr defaultRowHeight="15" x14ac:dyDescent="0.25"/>
  <cols>
    <col min="1" max="1" width="7.140625" style="1" customWidth="1"/>
    <col min="2" max="2" width="49.140625" style="2" customWidth="1"/>
    <col min="3" max="3" width="11.42578125" style="2" customWidth="1"/>
    <col min="4" max="4" width="10.140625" style="2" customWidth="1"/>
    <col min="5" max="5" width="8.7109375" style="27" customWidth="1"/>
    <col min="6" max="6" width="12" style="24" customWidth="1"/>
    <col min="7" max="7" width="15.7109375" style="24" customWidth="1"/>
    <col min="8" max="8" width="11.28515625" customWidth="1"/>
    <col min="9" max="1015" width="9" customWidth="1"/>
  </cols>
  <sheetData>
    <row r="1" spans="1:7" ht="14.25" x14ac:dyDescent="0.2">
      <c r="A1" s="156" t="s">
        <v>0</v>
      </c>
      <c r="B1" s="156"/>
      <c r="C1" s="156"/>
      <c r="D1" s="156"/>
      <c r="E1" s="157"/>
      <c r="F1" s="157"/>
      <c r="G1" s="157"/>
    </row>
    <row r="2" spans="1:7" ht="14.25" x14ac:dyDescent="0.2">
      <c r="A2" s="169" t="s">
        <v>198</v>
      </c>
      <c r="B2" s="169"/>
      <c r="C2" s="169"/>
      <c r="D2" s="169"/>
      <c r="E2" s="169"/>
      <c r="F2" s="169"/>
      <c r="G2" s="169"/>
    </row>
    <row r="3" spans="1:7" x14ac:dyDescent="0.25">
      <c r="A3" s="4"/>
      <c r="B3" s="4"/>
      <c r="C3" s="5"/>
      <c r="D3" s="6"/>
      <c r="E3" s="26"/>
      <c r="G3" s="22"/>
    </row>
    <row r="4" spans="1:7" ht="14.25" x14ac:dyDescent="0.2">
      <c r="A4" s="169" t="s">
        <v>2</v>
      </c>
      <c r="B4" s="169"/>
      <c r="C4" s="169"/>
      <c r="D4" s="169"/>
      <c r="E4" s="169"/>
      <c r="F4" s="169"/>
      <c r="G4" s="169"/>
    </row>
    <row r="5" spans="1:7" ht="14.25" x14ac:dyDescent="0.2">
      <c r="A5" s="169" t="s">
        <v>199</v>
      </c>
      <c r="B5" s="169"/>
      <c r="C5" s="169"/>
      <c r="D5" s="169"/>
      <c r="E5" s="169"/>
      <c r="F5" s="169"/>
      <c r="G5" s="169"/>
    </row>
    <row r="6" spans="1:7" x14ac:dyDescent="0.25">
      <c r="A6" s="4"/>
      <c r="G6" s="22"/>
    </row>
    <row r="7" spans="1:7" ht="14.25" x14ac:dyDescent="0.2">
      <c r="A7" s="170" t="s">
        <v>125</v>
      </c>
      <c r="B7" s="170"/>
      <c r="C7" s="170"/>
      <c r="D7" s="170"/>
      <c r="E7" s="170"/>
      <c r="F7" s="170"/>
      <c r="G7" s="170"/>
    </row>
    <row r="8" spans="1:7" ht="14.25" x14ac:dyDescent="0.2">
      <c r="A8" s="170" t="s">
        <v>200</v>
      </c>
      <c r="B8" s="170"/>
      <c r="C8" s="170"/>
      <c r="D8" s="170"/>
      <c r="E8" s="170"/>
      <c r="F8" s="170"/>
      <c r="G8" s="170"/>
    </row>
    <row r="9" spans="1:7" x14ac:dyDescent="0.25">
      <c r="A9" s="4"/>
      <c r="B9" s="6"/>
      <c r="G9" s="22"/>
    </row>
    <row r="10" spans="1:7" ht="18" customHeight="1" x14ac:dyDescent="0.25">
      <c r="A10" s="168" t="s">
        <v>4</v>
      </c>
      <c r="B10" s="168"/>
      <c r="C10" s="7"/>
      <c r="D10" s="7"/>
      <c r="E10" s="28"/>
      <c r="F10" s="33">
        <v>12836.4</v>
      </c>
      <c r="G10" s="23" t="s">
        <v>5</v>
      </c>
    </row>
    <row r="11" spans="1:7" ht="12.75" customHeight="1" x14ac:dyDescent="0.25">
      <c r="A11" s="168" t="s">
        <v>6</v>
      </c>
      <c r="B11" s="168"/>
      <c r="C11" s="7"/>
      <c r="D11" s="7"/>
      <c r="E11" s="28"/>
      <c r="F11" s="34">
        <v>269</v>
      </c>
      <c r="G11" s="23" t="s">
        <v>7</v>
      </c>
    </row>
    <row r="12" spans="1:7" ht="12.75" customHeight="1" x14ac:dyDescent="0.25">
      <c r="A12" s="168" t="s">
        <v>8</v>
      </c>
      <c r="B12" s="168"/>
      <c r="C12" s="8"/>
      <c r="D12" s="8"/>
      <c r="E12" s="29"/>
      <c r="F12" s="23">
        <v>249</v>
      </c>
      <c r="G12" s="23" t="s">
        <v>9</v>
      </c>
    </row>
    <row r="13" spans="1:7" ht="12.75" customHeight="1" x14ac:dyDescent="0.2">
      <c r="A13" s="163" t="s">
        <v>10</v>
      </c>
      <c r="B13" s="162" t="s">
        <v>11</v>
      </c>
      <c r="C13" s="165" t="s">
        <v>12</v>
      </c>
      <c r="D13" s="165" t="s">
        <v>13</v>
      </c>
      <c r="E13" s="167" t="s">
        <v>14</v>
      </c>
      <c r="F13" s="165" t="s">
        <v>15</v>
      </c>
      <c r="G13" s="165"/>
    </row>
    <row r="14" spans="1:7" ht="12.75" customHeight="1" x14ac:dyDescent="0.2">
      <c r="A14" s="163"/>
      <c r="B14" s="162"/>
      <c r="C14" s="165"/>
      <c r="D14" s="165"/>
      <c r="E14" s="167"/>
      <c r="F14" s="165"/>
      <c r="G14" s="165"/>
    </row>
    <row r="15" spans="1:7" ht="12.75" customHeight="1" x14ac:dyDescent="0.2">
      <c r="A15" s="163"/>
      <c r="B15" s="162"/>
      <c r="C15" s="165"/>
      <c r="D15" s="165"/>
      <c r="E15" s="167"/>
      <c r="F15" s="165" t="s">
        <v>16</v>
      </c>
      <c r="G15" s="165" t="s">
        <v>17</v>
      </c>
    </row>
    <row r="16" spans="1:7" ht="12.75" customHeight="1" x14ac:dyDescent="0.2">
      <c r="A16" s="163"/>
      <c r="B16" s="162"/>
      <c r="C16" s="165"/>
      <c r="D16" s="165"/>
      <c r="E16" s="167"/>
      <c r="F16" s="165"/>
      <c r="G16" s="165"/>
    </row>
    <row r="17" spans="1:8" ht="12.75" customHeight="1" x14ac:dyDescent="0.2">
      <c r="A17" s="153"/>
      <c r="B17" s="164" t="s">
        <v>231</v>
      </c>
      <c r="C17" s="164"/>
      <c r="D17" s="164"/>
      <c r="E17" s="155"/>
      <c r="F17" s="39">
        <f t="shared" ref="F17:F31" si="0">G17/12</f>
        <v>702801.55333333334</v>
      </c>
      <c r="G17" s="39">
        <f>SUM(G18:G32)</f>
        <v>8433618.6400000006</v>
      </c>
    </row>
    <row r="18" spans="1:8" ht="15" customHeight="1" x14ac:dyDescent="0.2">
      <c r="A18" s="153" t="s">
        <v>18</v>
      </c>
      <c r="B18" s="41" t="s">
        <v>45</v>
      </c>
      <c r="C18" s="152"/>
      <c r="D18" s="152"/>
      <c r="E18" s="49"/>
      <c r="F18" s="37">
        <f>G18/12</f>
        <v>11776.416666666666</v>
      </c>
      <c r="G18" s="37">
        <v>141317</v>
      </c>
      <c r="H18" s="3"/>
    </row>
    <row r="19" spans="1:8" x14ac:dyDescent="0.2">
      <c r="A19" s="153" t="s">
        <v>19</v>
      </c>
      <c r="B19" s="41" t="s">
        <v>121</v>
      </c>
      <c r="C19" s="152"/>
      <c r="D19" s="152"/>
      <c r="E19" s="49"/>
      <c r="F19" s="37">
        <f t="shared" si="0"/>
        <v>12985.736666666666</v>
      </c>
      <c r="G19" s="37">
        <v>155828.84</v>
      </c>
      <c r="H19" s="3"/>
    </row>
    <row r="20" spans="1:8" x14ac:dyDescent="0.2">
      <c r="A20" s="153" t="s">
        <v>20</v>
      </c>
      <c r="B20" s="41" t="s">
        <v>144</v>
      </c>
      <c r="C20" s="152"/>
      <c r="D20" s="152"/>
      <c r="E20" s="49"/>
      <c r="F20" s="37">
        <f t="shared" si="0"/>
        <v>623112.91166666674</v>
      </c>
      <c r="G20" s="37">
        <v>7477354.9400000004</v>
      </c>
      <c r="H20" s="3"/>
    </row>
    <row r="21" spans="1:8" x14ac:dyDescent="0.25">
      <c r="A21" s="153" t="s">
        <v>21</v>
      </c>
      <c r="B21" s="50" t="s">
        <v>37</v>
      </c>
      <c r="C21" s="152"/>
      <c r="D21" s="152"/>
      <c r="E21" s="49"/>
      <c r="F21" s="37">
        <f t="shared" si="0"/>
        <v>-2048.9283333333346</v>
      </c>
      <c r="G21" s="37">
        <v>-24587.140000000014</v>
      </c>
      <c r="H21" s="3"/>
    </row>
    <row r="22" spans="1:8" x14ac:dyDescent="0.25">
      <c r="A22" s="153" t="s">
        <v>23</v>
      </c>
      <c r="B22" s="50" t="s">
        <v>39</v>
      </c>
      <c r="C22" s="152"/>
      <c r="D22" s="152"/>
      <c r="E22" s="49"/>
      <c r="F22" s="37">
        <f t="shared" si="0"/>
        <v>-8009.25</v>
      </c>
      <c r="G22" s="44">
        <v>-96111</v>
      </c>
      <c r="H22" s="3"/>
    </row>
    <row r="23" spans="1:8" x14ac:dyDescent="0.25">
      <c r="A23" s="153" t="s">
        <v>25</v>
      </c>
      <c r="B23" s="50" t="s">
        <v>41</v>
      </c>
      <c r="C23" s="152"/>
      <c r="D23" s="152"/>
      <c r="E23" s="49"/>
      <c r="F23" s="37">
        <f t="shared" si="0"/>
        <v>3.25</v>
      </c>
      <c r="G23" s="44">
        <v>39</v>
      </c>
      <c r="H23" s="3"/>
    </row>
    <row r="24" spans="1:8" ht="22.5" customHeight="1" x14ac:dyDescent="0.25">
      <c r="A24" s="153" t="s">
        <v>27</v>
      </c>
      <c r="B24" s="50" t="s">
        <v>43</v>
      </c>
      <c r="C24" s="152"/>
      <c r="D24" s="152"/>
      <c r="E24" s="49"/>
      <c r="F24" s="37">
        <f>G24/12</f>
        <v>7.333333333333333</v>
      </c>
      <c r="G24" s="44">
        <v>88</v>
      </c>
      <c r="H24" s="3"/>
    </row>
    <row r="25" spans="1:8" ht="15" customHeight="1" x14ac:dyDescent="0.2">
      <c r="A25" s="153" t="s">
        <v>29</v>
      </c>
      <c r="B25" s="41" t="s">
        <v>33</v>
      </c>
      <c r="C25" s="152"/>
      <c r="D25" s="152"/>
      <c r="E25" s="49"/>
      <c r="F25" s="37">
        <f t="shared" si="0"/>
        <v>1272.9583333333333</v>
      </c>
      <c r="G25" s="37">
        <v>15275.5</v>
      </c>
      <c r="H25" s="3"/>
    </row>
    <row r="26" spans="1:8" ht="15" customHeight="1" x14ac:dyDescent="0.2">
      <c r="A26" s="153" t="s">
        <v>30</v>
      </c>
      <c r="B26" s="41" t="s">
        <v>35</v>
      </c>
      <c r="C26" s="152"/>
      <c r="D26" s="152"/>
      <c r="E26" s="49"/>
      <c r="F26" s="37">
        <f t="shared" si="0"/>
        <v>139.91666666666666</v>
      </c>
      <c r="G26" s="37">
        <v>1679</v>
      </c>
      <c r="H26" s="3"/>
    </row>
    <row r="27" spans="1:8" ht="15" customHeight="1" x14ac:dyDescent="0.2">
      <c r="A27" s="153" t="s">
        <v>32</v>
      </c>
      <c r="B27" s="41" t="s">
        <v>203</v>
      </c>
      <c r="C27" s="152"/>
      <c r="D27" s="152"/>
      <c r="E27" s="49"/>
      <c r="F27" s="37">
        <f t="shared" si="0"/>
        <v>-18754.458333333332</v>
      </c>
      <c r="G27" s="37">
        <v>-225053.5</v>
      </c>
      <c r="H27" s="3"/>
    </row>
    <row r="28" spans="1:8" ht="15" customHeight="1" x14ac:dyDescent="0.2">
      <c r="A28" s="153" t="s">
        <v>34</v>
      </c>
      <c r="B28" s="41" t="s">
        <v>204</v>
      </c>
      <c r="C28" s="152"/>
      <c r="D28" s="152"/>
      <c r="E28" s="49"/>
      <c r="F28" s="37">
        <f t="shared" si="0"/>
        <v>48437.708333333336</v>
      </c>
      <c r="G28" s="37">
        <v>581252.5</v>
      </c>
      <c r="H28" s="3"/>
    </row>
    <row r="29" spans="1:8" ht="15" customHeight="1" x14ac:dyDescent="0.2">
      <c r="A29" s="153" t="s">
        <v>36</v>
      </c>
      <c r="B29" s="41" t="s">
        <v>122</v>
      </c>
      <c r="C29" s="152"/>
      <c r="D29" s="152"/>
      <c r="E29" s="49"/>
      <c r="F29" s="37">
        <f t="shared" si="0"/>
        <v>15695.208333333334</v>
      </c>
      <c r="G29" s="37">
        <v>188342.5</v>
      </c>
      <c r="H29" s="3"/>
    </row>
    <row r="30" spans="1:8" ht="15" customHeight="1" x14ac:dyDescent="0.2">
      <c r="A30" s="153" t="s">
        <v>38</v>
      </c>
      <c r="B30" s="41" t="s">
        <v>131</v>
      </c>
      <c r="C30" s="152"/>
      <c r="D30" s="152"/>
      <c r="E30" s="49"/>
      <c r="F30" s="37">
        <f t="shared" si="0"/>
        <v>-749.58333333333337</v>
      </c>
      <c r="G30" s="37">
        <v>-8995</v>
      </c>
      <c r="H30" s="3"/>
    </row>
    <row r="31" spans="1:8" ht="30" customHeight="1" x14ac:dyDescent="0.2">
      <c r="A31" s="153" t="s">
        <v>40</v>
      </c>
      <c r="B31" s="41" t="s">
        <v>123</v>
      </c>
      <c r="C31" s="152"/>
      <c r="D31" s="152"/>
      <c r="E31" s="49"/>
      <c r="F31" s="37">
        <f t="shared" si="0"/>
        <v>2657.3333333333335</v>
      </c>
      <c r="G31" s="37">
        <f>21888+10000</f>
        <v>31888</v>
      </c>
      <c r="H31" s="3"/>
    </row>
    <row r="32" spans="1:8" ht="30" customHeight="1" x14ac:dyDescent="0.25">
      <c r="A32" s="153" t="s">
        <v>42</v>
      </c>
      <c r="B32" s="50" t="s">
        <v>62</v>
      </c>
      <c r="C32" s="152"/>
      <c r="D32" s="152"/>
      <c r="E32" s="49"/>
      <c r="F32" s="37">
        <f>G32/12</f>
        <v>16275</v>
      </c>
      <c r="G32" s="37">
        <v>195300</v>
      </c>
    </row>
    <row r="33" spans="1:7" ht="42" customHeight="1" x14ac:dyDescent="0.2">
      <c r="A33" s="166" t="s">
        <v>44</v>
      </c>
      <c r="B33" s="166"/>
      <c r="C33" s="166"/>
      <c r="D33" s="166"/>
      <c r="E33" s="166"/>
      <c r="F33" s="45">
        <f>SUM(F34:F55)</f>
        <v>399947.07133333338</v>
      </c>
      <c r="G33" s="45">
        <f>SUM(G34:G55)</f>
        <v>15051618.409134788</v>
      </c>
    </row>
    <row r="34" spans="1:7" x14ac:dyDescent="0.2">
      <c r="A34" s="153" t="s">
        <v>18</v>
      </c>
      <c r="B34" s="41" t="s">
        <v>45</v>
      </c>
      <c r="C34" s="51" t="s">
        <v>46</v>
      </c>
      <c r="D34" s="32">
        <v>12836.4</v>
      </c>
      <c r="E34" s="32"/>
      <c r="F34" s="30">
        <v>262630</v>
      </c>
      <c r="G34" s="30">
        <f>G57</f>
        <v>3838628.6309932796</v>
      </c>
    </row>
    <row r="35" spans="1:7" x14ac:dyDescent="0.2">
      <c r="A35" s="153" t="s">
        <v>19</v>
      </c>
      <c r="B35" s="41" t="s">
        <v>205</v>
      </c>
      <c r="C35" s="51" t="s">
        <v>46</v>
      </c>
      <c r="D35" s="32">
        <v>12836.4</v>
      </c>
      <c r="E35" s="32">
        <v>10.07</v>
      </c>
      <c r="F35" s="30">
        <f>D35*E35</f>
        <v>129262.548</v>
      </c>
      <c r="G35" s="30">
        <f>F35*12</f>
        <v>1551150.5759999999</v>
      </c>
    </row>
    <row r="36" spans="1:7" x14ac:dyDescent="0.2">
      <c r="A36" s="153" t="s">
        <v>20</v>
      </c>
      <c r="B36" s="41" t="s">
        <v>37</v>
      </c>
      <c r="C36" s="51" t="s">
        <v>46</v>
      </c>
      <c r="D36" s="32"/>
      <c r="E36" s="32"/>
      <c r="F36" s="30"/>
      <c r="G36" s="30">
        <f>G109</f>
        <v>487000</v>
      </c>
    </row>
    <row r="37" spans="1:7" x14ac:dyDescent="0.2">
      <c r="A37" s="153" t="s">
        <v>21</v>
      </c>
      <c r="B37" s="41" t="s">
        <v>39</v>
      </c>
      <c r="C37" s="51" t="s">
        <v>46</v>
      </c>
      <c r="D37" s="32">
        <v>12836.4</v>
      </c>
      <c r="E37" s="32"/>
      <c r="F37" s="30"/>
      <c r="G37" s="30">
        <f>G110</f>
        <v>773405</v>
      </c>
    </row>
    <row r="38" spans="1:7" x14ac:dyDescent="0.2">
      <c r="A38" s="153" t="s">
        <v>23</v>
      </c>
      <c r="B38" s="41" t="s">
        <v>41</v>
      </c>
      <c r="C38" s="51" t="s">
        <v>9</v>
      </c>
      <c r="D38" s="51">
        <v>225</v>
      </c>
      <c r="E38" s="32"/>
      <c r="F38" s="30"/>
      <c r="G38" s="30">
        <f>G111</f>
        <v>244320</v>
      </c>
    </row>
    <row r="39" spans="1:7" x14ac:dyDescent="0.2">
      <c r="A39" s="153" t="s">
        <v>25</v>
      </c>
      <c r="B39" s="52" t="s">
        <v>43</v>
      </c>
      <c r="C39" s="51" t="s">
        <v>9</v>
      </c>
      <c r="D39" s="51">
        <v>249</v>
      </c>
      <c r="E39" s="32"/>
      <c r="F39" s="30"/>
      <c r="G39" s="30">
        <f>G112</f>
        <v>108000</v>
      </c>
    </row>
    <row r="40" spans="1:7" s="43" customFormat="1" x14ac:dyDescent="0.2">
      <c r="A40" s="153" t="s">
        <v>27</v>
      </c>
      <c r="B40" s="41" t="s">
        <v>33</v>
      </c>
      <c r="C40" s="51" t="s">
        <v>47</v>
      </c>
      <c r="D40" s="32"/>
      <c r="E40" s="32"/>
      <c r="F40" s="30"/>
      <c r="G40" s="30">
        <f>G115</f>
        <v>1344284</v>
      </c>
    </row>
    <row r="41" spans="1:7" s="43" customFormat="1" x14ac:dyDescent="0.2">
      <c r="A41" s="153" t="s">
        <v>29</v>
      </c>
      <c r="B41" s="41" t="s">
        <v>35</v>
      </c>
      <c r="C41" s="51" t="s">
        <v>47</v>
      </c>
      <c r="D41" s="37"/>
      <c r="E41" s="32"/>
      <c r="F41" s="30"/>
      <c r="G41" s="30">
        <f>G116</f>
        <v>192430</v>
      </c>
    </row>
    <row r="42" spans="1:7" s="43" customFormat="1" x14ac:dyDescent="0.2">
      <c r="A42" s="153" t="s">
        <v>30</v>
      </c>
      <c r="B42" s="41" t="s">
        <v>48</v>
      </c>
      <c r="C42" s="51"/>
      <c r="D42" s="32"/>
      <c r="E42" s="32"/>
      <c r="F42" s="42"/>
      <c r="G42" s="30">
        <f>G43+G44</f>
        <v>616237.5</v>
      </c>
    </row>
    <row r="43" spans="1:7" s="43" customFormat="1" x14ac:dyDescent="0.2">
      <c r="A43" s="153"/>
      <c r="B43" s="41" t="s">
        <v>49</v>
      </c>
      <c r="C43" s="51" t="s">
        <v>50</v>
      </c>
      <c r="D43" s="32"/>
      <c r="E43" s="32"/>
      <c r="F43" s="30"/>
      <c r="G43" s="30">
        <f>G117</f>
        <v>260150</v>
      </c>
    </row>
    <row r="44" spans="1:7" s="43" customFormat="1" x14ac:dyDescent="0.2">
      <c r="A44" s="153"/>
      <c r="B44" s="41" t="s">
        <v>48</v>
      </c>
      <c r="C44" s="51" t="s">
        <v>50</v>
      </c>
      <c r="D44" s="32"/>
      <c r="E44" s="32"/>
      <c r="F44" s="30"/>
      <c r="G44" s="30">
        <f>G118</f>
        <v>356087.5</v>
      </c>
    </row>
    <row r="45" spans="1:7" s="43" customFormat="1" x14ac:dyDescent="0.2">
      <c r="A45" s="153" t="s">
        <v>32</v>
      </c>
      <c r="B45" s="41" t="s">
        <v>52</v>
      </c>
      <c r="C45" s="51"/>
      <c r="D45" s="32"/>
      <c r="E45" s="32"/>
      <c r="F45" s="42"/>
      <c r="G45" s="30">
        <f>G46+G47</f>
        <v>1403528</v>
      </c>
    </row>
    <row r="46" spans="1:7" s="43" customFormat="1" x14ac:dyDescent="0.2">
      <c r="A46" s="153"/>
      <c r="B46" s="41" t="s">
        <v>51</v>
      </c>
      <c r="C46" s="51" t="s">
        <v>50</v>
      </c>
      <c r="D46" s="32"/>
      <c r="E46" s="32"/>
      <c r="F46" s="30"/>
      <c r="G46" s="30">
        <v>167711</v>
      </c>
    </row>
    <row r="47" spans="1:7" s="43" customFormat="1" x14ac:dyDescent="0.2">
      <c r="A47" s="153"/>
      <c r="B47" s="41" t="s">
        <v>52</v>
      </c>
      <c r="C47" s="51" t="s">
        <v>50</v>
      </c>
      <c r="D47" s="32"/>
      <c r="E47" s="32"/>
      <c r="F47" s="30"/>
      <c r="G47" s="30">
        <v>1235817</v>
      </c>
    </row>
    <row r="48" spans="1:7" s="43" customFormat="1" x14ac:dyDescent="0.2">
      <c r="A48" s="153" t="s">
        <v>34</v>
      </c>
      <c r="B48" s="41" t="s">
        <v>53</v>
      </c>
      <c r="C48" s="51" t="s">
        <v>54</v>
      </c>
      <c r="D48" s="32"/>
      <c r="E48" s="53">
        <v>11.02</v>
      </c>
      <c r="F48" s="30"/>
      <c r="G48" s="30">
        <f>G121</f>
        <v>2067912</v>
      </c>
    </row>
    <row r="49" spans="1:9" x14ac:dyDescent="0.2">
      <c r="A49" s="153" t="s">
        <v>36</v>
      </c>
      <c r="B49" s="41" t="s">
        <v>55</v>
      </c>
      <c r="C49" s="51" t="s">
        <v>56</v>
      </c>
      <c r="D49" s="51"/>
      <c r="E49" s="54">
        <v>2.6</v>
      </c>
      <c r="F49" s="30"/>
      <c r="G49" s="30">
        <f>G113</f>
        <v>298302.92214150901</v>
      </c>
    </row>
    <row r="50" spans="1:9" ht="30" x14ac:dyDescent="0.2">
      <c r="A50" s="153" t="s">
        <v>38</v>
      </c>
      <c r="B50" s="41" t="s">
        <v>123</v>
      </c>
      <c r="C50" s="51" t="s">
        <v>65</v>
      </c>
      <c r="D50" s="37"/>
      <c r="E50" s="37" t="s">
        <v>135</v>
      </c>
      <c r="F50" s="30"/>
      <c r="G50" s="30">
        <v>10000</v>
      </c>
    </row>
    <row r="51" spans="1:9" x14ac:dyDescent="0.2">
      <c r="A51" s="153" t="s">
        <v>40</v>
      </c>
      <c r="B51" s="41" t="s">
        <v>58</v>
      </c>
      <c r="C51" s="51" t="s">
        <v>65</v>
      </c>
      <c r="D51" s="51">
        <v>1</v>
      </c>
      <c r="E51" s="51"/>
      <c r="F51" s="30">
        <f>G51/12</f>
        <v>0</v>
      </c>
      <c r="G51" s="30">
        <v>0</v>
      </c>
    </row>
    <row r="52" spans="1:9" x14ac:dyDescent="0.2">
      <c r="A52" s="153" t="s">
        <v>42</v>
      </c>
      <c r="B52" s="41" t="s">
        <v>61</v>
      </c>
      <c r="C52" s="51" t="s">
        <v>65</v>
      </c>
      <c r="D52" s="51">
        <v>1</v>
      </c>
      <c r="E52" s="51"/>
      <c r="F52" s="30">
        <f>G52/12</f>
        <v>54.166666666666664</v>
      </c>
      <c r="G52" s="30">
        <v>650</v>
      </c>
      <c r="H52" s="131"/>
    </row>
    <row r="53" spans="1:9" ht="30" customHeight="1" x14ac:dyDescent="0.2">
      <c r="A53" s="153" t="s">
        <v>57</v>
      </c>
      <c r="B53" s="41" t="s">
        <v>124</v>
      </c>
      <c r="C53" s="51" t="s">
        <v>65</v>
      </c>
      <c r="D53" s="51">
        <v>5.99</v>
      </c>
      <c r="E53" s="32"/>
      <c r="F53" s="30">
        <f t="shared" ref="F53:F55" si="1">G53/12</f>
        <v>369.86166666666668</v>
      </c>
      <c r="G53" s="30">
        <v>4438.34</v>
      </c>
      <c r="H53" s="131"/>
    </row>
    <row r="54" spans="1:9" ht="30" customHeight="1" x14ac:dyDescent="0.2">
      <c r="A54" s="153" t="s">
        <v>59</v>
      </c>
      <c r="B54" s="41" t="s">
        <v>146</v>
      </c>
      <c r="C54" s="51" t="s">
        <v>65</v>
      </c>
      <c r="D54" s="51"/>
      <c r="E54" s="32"/>
      <c r="F54" s="30">
        <f t="shared" si="1"/>
        <v>2680.4949999999999</v>
      </c>
      <c r="G54" s="30">
        <v>32165.94</v>
      </c>
      <c r="H54" s="131"/>
    </row>
    <row r="55" spans="1:9" ht="30" x14ac:dyDescent="0.2">
      <c r="A55" s="153" t="s">
        <v>60</v>
      </c>
      <c r="B55" s="41" t="s">
        <v>147</v>
      </c>
      <c r="C55" s="51" t="s">
        <v>63</v>
      </c>
      <c r="D55" s="37">
        <v>3</v>
      </c>
      <c r="E55" s="37"/>
      <c r="F55" s="30">
        <f t="shared" si="1"/>
        <v>4950</v>
      </c>
      <c r="G55" s="30">
        <v>59400</v>
      </c>
    </row>
    <row r="56" spans="1:9" ht="23.25" customHeight="1" x14ac:dyDescent="0.2">
      <c r="A56" s="163" t="s">
        <v>64</v>
      </c>
      <c r="B56" s="163"/>
      <c r="C56" s="163"/>
      <c r="D56" s="163"/>
      <c r="E56" s="163"/>
      <c r="F56" s="35">
        <f>F57+F107+F109+F110+F111+F112+F113+F115+F116+F117+F118+F119+F120+F121</f>
        <v>947837.3377612324</v>
      </c>
      <c r="G56" s="35">
        <f>G57+G107+G109+G110+G111+G112+G113+G115+G116+G117+G118+G119+G120+G121</f>
        <v>11374048.053134788</v>
      </c>
    </row>
    <row r="57" spans="1:9" ht="14.25" x14ac:dyDescent="0.2">
      <c r="A57" s="153">
        <v>1</v>
      </c>
      <c r="B57" s="154" t="s">
        <v>45</v>
      </c>
      <c r="C57" s="55" t="s">
        <v>65</v>
      </c>
      <c r="D57" s="152"/>
      <c r="E57" s="49"/>
      <c r="F57" s="39">
        <f>G57/12</f>
        <v>319885.71924943995</v>
      </c>
      <c r="G57" s="39">
        <f>G58+G59+G67+G70+G71+G75+G84+G87+G92</f>
        <v>3838628.6309932796</v>
      </c>
    </row>
    <row r="58" spans="1:9" x14ac:dyDescent="0.2">
      <c r="A58" s="153" t="s">
        <v>66</v>
      </c>
      <c r="B58" s="52" t="s">
        <v>201</v>
      </c>
      <c r="C58" s="30" t="s">
        <v>63</v>
      </c>
      <c r="D58" s="37"/>
      <c r="E58" s="32"/>
      <c r="F58" s="37">
        <f>G58/12</f>
        <v>10000</v>
      </c>
      <c r="G58" s="39">
        <v>120000</v>
      </c>
      <c r="H58" s="3"/>
    </row>
    <row r="59" spans="1:9" ht="14.25" x14ac:dyDescent="0.2">
      <c r="A59" s="153" t="s">
        <v>67</v>
      </c>
      <c r="B59" s="154" t="s">
        <v>68</v>
      </c>
      <c r="C59" s="35"/>
      <c r="D59" s="39"/>
      <c r="E59" s="49"/>
      <c r="F59" s="39">
        <f>F60+F61+F62+F63+F64+F65+F66</f>
        <v>8180</v>
      </c>
      <c r="G59" s="39">
        <f>G60+G61+G62+G63+G64+G65+G66</f>
        <v>100160</v>
      </c>
    </row>
    <row r="60" spans="1:9" x14ac:dyDescent="0.2">
      <c r="A60" s="56"/>
      <c r="B60" s="52" t="s">
        <v>69</v>
      </c>
      <c r="C60" s="30" t="s">
        <v>63</v>
      </c>
      <c r="D60" s="37"/>
      <c r="E60" s="32"/>
      <c r="F60" s="37">
        <f>G60/12</f>
        <v>1541.6666666666667</v>
      </c>
      <c r="G60" s="37">
        <v>18500</v>
      </c>
      <c r="I60" s="3"/>
    </row>
    <row r="61" spans="1:9" x14ac:dyDescent="0.2">
      <c r="A61" s="56"/>
      <c r="B61" s="52" t="s">
        <v>70</v>
      </c>
      <c r="C61" s="30" t="s">
        <v>63</v>
      </c>
      <c r="D61" s="37"/>
      <c r="E61" s="37"/>
      <c r="F61" s="37">
        <f t="shared" ref="F61:F66" si="2">G61/12</f>
        <v>616.66666666666663</v>
      </c>
      <c r="G61" s="37">
        <v>7400</v>
      </c>
      <c r="I61" s="3"/>
    </row>
    <row r="62" spans="1:9" x14ac:dyDescent="0.2">
      <c r="A62" s="56"/>
      <c r="B62" s="52" t="s">
        <v>71</v>
      </c>
      <c r="C62" s="30" t="s">
        <v>63</v>
      </c>
      <c r="D62" s="37"/>
      <c r="E62" s="37"/>
      <c r="F62" s="37">
        <f t="shared" si="2"/>
        <v>645.83333333333337</v>
      </c>
      <c r="G62" s="37">
        <v>7750</v>
      </c>
      <c r="I62" s="3"/>
    </row>
    <row r="63" spans="1:9" x14ac:dyDescent="0.2">
      <c r="A63" s="56"/>
      <c r="B63" s="52" t="s">
        <v>72</v>
      </c>
      <c r="C63" s="30" t="s">
        <v>63</v>
      </c>
      <c r="D63" s="37"/>
      <c r="E63" s="37"/>
      <c r="F63" s="37">
        <f t="shared" si="2"/>
        <v>2163.3333333333335</v>
      </c>
      <c r="G63" s="37">
        <v>25960</v>
      </c>
      <c r="I63" s="3"/>
    </row>
    <row r="64" spans="1:9" ht="19.5" customHeight="1" x14ac:dyDescent="0.2">
      <c r="A64" s="56"/>
      <c r="B64" s="52" t="s">
        <v>137</v>
      </c>
      <c r="C64" s="30" t="s">
        <v>65</v>
      </c>
      <c r="D64" s="37">
        <v>2</v>
      </c>
      <c r="E64" s="32"/>
      <c r="F64" s="37">
        <v>800</v>
      </c>
      <c r="G64" s="37">
        <v>11600</v>
      </c>
      <c r="I64" s="3"/>
    </row>
    <row r="65" spans="1:9" x14ac:dyDescent="0.2">
      <c r="A65" s="56"/>
      <c r="B65" s="52" t="s">
        <v>73</v>
      </c>
      <c r="C65" s="30" t="s">
        <v>63</v>
      </c>
      <c r="D65" s="37"/>
      <c r="E65" s="37"/>
      <c r="F65" s="37">
        <f t="shared" si="2"/>
        <v>991.66666666666663</v>
      </c>
      <c r="G65" s="37">
        <v>11900</v>
      </c>
      <c r="I65" s="3"/>
    </row>
    <row r="66" spans="1:9" x14ac:dyDescent="0.2">
      <c r="A66" s="56"/>
      <c r="B66" s="52" t="s">
        <v>132</v>
      </c>
      <c r="C66" s="30" t="s">
        <v>65</v>
      </c>
      <c r="D66" s="37"/>
      <c r="E66" s="37"/>
      <c r="F66" s="37">
        <f t="shared" si="2"/>
        <v>1420.8333333333333</v>
      </c>
      <c r="G66" s="37">
        <v>17050</v>
      </c>
      <c r="I66" s="3"/>
    </row>
    <row r="67" spans="1:9" x14ac:dyDescent="0.2">
      <c r="A67" s="153" t="s">
        <v>74</v>
      </c>
      <c r="B67" s="154" t="s">
        <v>75</v>
      </c>
      <c r="C67" s="35"/>
      <c r="D67" s="39"/>
      <c r="E67" s="37"/>
      <c r="F67" s="39">
        <f>F68+F69</f>
        <v>1155.5999999999999</v>
      </c>
      <c r="G67" s="39">
        <f>G68+G69</f>
        <v>13867</v>
      </c>
    </row>
    <row r="68" spans="1:9" x14ac:dyDescent="0.2">
      <c r="A68" s="56"/>
      <c r="B68" s="52" t="s">
        <v>76</v>
      </c>
      <c r="C68" s="30" t="s">
        <v>77</v>
      </c>
      <c r="D68" s="37"/>
      <c r="E68" s="37"/>
      <c r="F68" s="37">
        <f>315.6</f>
        <v>315.60000000000002</v>
      </c>
      <c r="G68" s="37">
        <v>3787</v>
      </c>
    </row>
    <row r="69" spans="1:9" x14ac:dyDescent="0.2">
      <c r="A69" s="56"/>
      <c r="B69" s="52" t="s">
        <v>78</v>
      </c>
      <c r="C69" s="30" t="s">
        <v>77</v>
      </c>
      <c r="D69" s="37"/>
      <c r="E69" s="37"/>
      <c r="F69" s="37">
        <f>440+300+100</f>
        <v>840</v>
      </c>
      <c r="G69" s="37">
        <v>10080</v>
      </c>
    </row>
    <row r="70" spans="1:9" x14ac:dyDescent="0.2">
      <c r="A70" s="153" t="s">
        <v>79</v>
      </c>
      <c r="B70" s="154" t="s">
        <v>80</v>
      </c>
      <c r="C70" s="35" t="s">
        <v>77</v>
      </c>
      <c r="D70" s="39"/>
      <c r="E70" s="37"/>
      <c r="F70" s="39">
        <f t="shared" ref="F70:F74" si="3">G70/12</f>
        <v>2269.1666666666665</v>
      </c>
      <c r="G70" s="39">
        <v>27230</v>
      </c>
    </row>
    <row r="71" spans="1:9" x14ac:dyDescent="0.2">
      <c r="A71" s="153" t="s">
        <v>81</v>
      </c>
      <c r="B71" s="154" t="s">
        <v>82</v>
      </c>
      <c r="C71" s="35"/>
      <c r="D71" s="39"/>
      <c r="E71" s="37"/>
      <c r="F71" s="39">
        <f>F72+F73+F74</f>
        <v>2083.3333333333335</v>
      </c>
      <c r="G71" s="39">
        <f>G72+G73+G74</f>
        <v>25000</v>
      </c>
    </row>
    <row r="72" spans="1:9" x14ac:dyDescent="0.2">
      <c r="A72" s="56"/>
      <c r="B72" s="52" t="s">
        <v>83</v>
      </c>
      <c r="C72" s="30" t="s">
        <v>63</v>
      </c>
      <c r="D72" s="37"/>
      <c r="E72" s="37"/>
      <c r="F72" s="37">
        <f>G72/12</f>
        <v>2083.3333333333335</v>
      </c>
      <c r="G72" s="37">
        <v>25000</v>
      </c>
    </row>
    <row r="73" spans="1:9" x14ac:dyDescent="0.2">
      <c r="A73" s="56"/>
      <c r="B73" s="52" t="s">
        <v>84</v>
      </c>
      <c r="C73" s="30" t="s">
        <v>63</v>
      </c>
      <c r="D73" s="37"/>
      <c r="E73" s="37"/>
      <c r="F73" s="37">
        <f>G73/12</f>
        <v>0</v>
      </c>
      <c r="G73" s="37">
        <v>0</v>
      </c>
    </row>
    <row r="74" spans="1:9" x14ac:dyDescent="0.2">
      <c r="A74" s="56"/>
      <c r="B74" s="52" t="s">
        <v>85</v>
      </c>
      <c r="C74" s="30" t="s">
        <v>63</v>
      </c>
      <c r="D74" s="37"/>
      <c r="E74" s="37"/>
      <c r="F74" s="37">
        <f t="shared" si="3"/>
        <v>0</v>
      </c>
      <c r="G74" s="37">
        <v>0</v>
      </c>
    </row>
    <row r="75" spans="1:9" x14ac:dyDescent="0.2">
      <c r="A75" s="153" t="s">
        <v>86</v>
      </c>
      <c r="B75" s="154" t="s">
        <v>87</v>
      </c>
      <c r="C75" s="35"/>
      <c r="D75" s="39"/>
      <c r="E75" s="37"/>
      <c r="F75" s="39">
        <f>F76+F77+F78+F79+F80+F81+F82+F83</f>
        <v>13025</v>
      </c>
      <c r="G75" s="39">
        <f>G76+G77+G78+G79+G80+G81+G82+G83</f>
        <v>156300</v>
      </c>
    </row>
    <row r="76" spans="1:9" ht="30" customHeight="1" x14ac:dyDescent="0.2">
      <c r="A76" s="56"/>
      <c r="B76" s="52" t="s">
        <v>129</v>
      </c>
      <c r="C76" s="30" t="s">
        <v>9</v>
      </c>
      <c r="D76" s="37"/>
      <c r="E76" s="37"/>
      <c r="F76" s="37">
        <f>G76/12</f>
        <v>2683.3333333333335</v>
      </c>
      <c r="G76" s="37">
        <v>32200</v>
      </c>
    </row>
    <row r="77" spans="1:9" x14ac:dyDescent="0.2">
      <c r="A77" s="56"/>
      <c r="B77" s="52" t="s">
        <v>130</v>
      </c>
      <c r="C77" s="30" t="s">
        <v>9</v>
      </c>
      <c r="D77" s="37"/>
      <c r="E77" s="37"/>
      <c r="F77" s="37">
        <f>G77/12</f>
        <v>3825</v>
      </c>
      <c r="G77" s="37">
        <v>45900</v>
      </c>
    </row>
    <row r="78" spans="1:9" ht="21" customHeight="1" x14ac:dyDescent="0.2">
      <c r="A78" s="56"/>
      <c r="B78" s="52" t="s">
        <v>88</v>
      </c>
      <c r="C78" s="30" t="s">
        <v>9</v>
      </c>
      <c r="D78" s="37"/>
      <c r="E78" s="37"/>
      <c r="F78" s="37">
        <f t="shared" ref="F78:F86" si="4">G78/12</f>
        <v>566.66666666666663</v>
      </c>
      <c r="G78" s="37">
        <v>6800</v>
      </c>
    </row>
    <row r="79" spans="1:9" ht="26.25" customHeight="1" x14ac:dyDescent="0.2">
      <c r="A79" s="56"/>
      <c r="B79" s="52" t="s">
        <v>89</v>
      </c>
      <c r="C79" s="30" t="s">
        <v>63</v>
      </c>
      <c r="D79" s="37"/>
      <c r="E79" s="37"/>
      <c r="F79" s="37">
        <f t="shared" si="4"/>
        <v>508.33333333333331</v>
      </c>
      <c r="G79" s="37">
        <v>6100</v>
      </c>
    </row>
    <row r="80" spans="1:9" x14ac:dyDescent="0.2">
      <c r="A80" s="56"/>
      <c r="B80" s="52" t="s">
        <v>90</v>
      </c>
      <c r="C80" s="30" t="s">
        <v>63</v>
      </c>
      <c r="D80" s="37"/>
      <c r="E80" s="37"/>
      <c r="F80" s="37">
        <f t="shared" si="4"/>
        <v>1041.6666666666667</v>
      </c>
      <c r="G80" s="37">
        <v>12500</v>
      </c>
    </row>
    <row r="81" spans="1:9" x14ac:dyDescent="0.2">
      <c r="A81" s="56"/>
      <c r="B81" s="52" t="s">
        <v>91</v>
      </c>
      <c r="C81" s="30"/>
      <c r="D81" s="37"/>
      <c r="E81" s="37"/>
      <c r="F81" s="37">
        <f>G81/12</f>
        <v>400</v>
      </c>
      <c r="G81" s="37">
        <v>4800</v>
      </c>
    </row>
    <row r="82" spans="1:9" x14ac:dyDescent="0.2">
      <c r="A82" s="56"/>
      <c r="B82" s="52" t="s">
        <v>202</v>
      </c>
      <c r="C82" s="30"/>
      <c r="D82" s="37"/>
      <c r="E82" s="37"/>
      <c r="F82" s="37">
        <f>G82/12</f>
        <v>833.33333333333337</v>
      </c>
      <c r="G82" s="37">
        <v>10000</v>
      </c>
    </row>
    <row r="83" spans="1:9" x14ac:dyDescent="0.2">
      <c r="A83" s="56"/>
      <c r="B83" s="52" t="s">
        <v>117</v>
      </c>
      <c r="C83" s="30"/>
      <c r="D83" s="37"/>
      <c r="E83" s="37"/>
      <c r="F83" s="37">
        <f>G83/12</f>
        <v>3166.6666666666665</v>
      </c>
      <c r="G83" s="37">
        <v>38000</v>
      </c>
    </row>
    <row r="84" spans="1:9" x14ac:dyDescent="0.2">
      <c r="A84" s="153" t="s">
        <v>92</v>
      </c>
      <c r="B84" s="154" t="s">
        <v>93</v>
      </c>
      <c r="C84" s="35"/>
      <c r="D84" s="39"/>
      <c r="E84" s="32"/>
      <c r="F84" s="46">
        <f>F85+F86</f>
        <v>20000</v>
      </c>
      <c r="G84" s="46">
        <f>G85+G86</f>
        <v>240000</v>
      </c>
    </row>
    <row r="85" spans="1:9" x14ac:dyDescent="0.2">
      <c r="A85" s="56" t="s">
        <v>94</v>
      </c>
      <c r="B85" s="52" t="s">
        <v>95</v>
      </c>
      <c r="C85" s="30" t="s">
        <v>63</v>
      </c>
      <c r="D85" s="39"/>
      <c r="E85" s="32"/>
      <c r="F85" s="37">
        <f>G85/12</f>
        <v>20000</v>
      </c>
      <c r="G85" s="37">
        <v>240000</v>
      </c>
    </row>
    <row r="86" spans="1:9" x14ac:dyDescent="0.2">
      <c r="A86" s="56" t="s">
        <v>96</v>
      </c>
      <c r="B86" s="52" t="s">
        <v>97</v>
      </c>
      <c r="C86" s="30" t="s">
        <v>63</v>
      </c>
      <c r="D86" s="39"/>
      <c r="E86" s="32"/>
      <c r="F86" s="37">
        <f t="shared" si="4"/>
        <v>0</v>
      </c>
      <c r="G86" s="37">
        <v>0</v>
      </c>
    </row>
    <row r="87" spans="1:9" x14ac:dyDescent="0.2">
      <c r="A87" s="153" t="s">
        <v>98</v>
      </c>
      <c r="B87" s="154" t="s">
        <v>99</v>
      </c>
      <c r="C87" s="35"/>
      <c r="D87" s="39"/>
      <c r="E87" s="32"/>
      <c r="F87" s="39">
        <f>F88+F89+F90+F91</f>
        <v>237839.30258277335</v>
      </c>
      <c r="G87" s="39">
        <f>G88+G89+G90+G91</f>
        <v>2854071.6309932796</v>
      </c>
      <c r="I87" s="3"/>
    </row>
    <row r="88" spans="1:9" ht="30" x14ac:dyDescent="0.2">
      <c r="A88" s="57" t="s">
        <v>100</v>
      </c>
      <c r="B88" s="52" t="s">
        <v>101</v>
      </c>
      <c r="C88" s="30"/>
      <c r="D88" s="37"/>
      <c r="E88" s="32"/>
      <c r="F88" s="37">
        <f>'Тарифы 22'!D26</f>
        <v>165692.92338666666</v>
      </c>
      <c r="G88" s="37">
        <f>F88*12</f>
        <v>1988315.0806399998</v>
      </c>
    </row>
    <row r="89" spans="1:9" x14ac:dyDescent="0.2">
      <c r="A89" s="57" t="s">
        <v>102</v>
      </c>
      <c r="B89" s="52" t="s">
        <v>127</v>
      </c>
      <c r="C89" s="58"/>
      <c r="D89" s="59">
        <v>0.30199999999999999</v>
      </c>
      <c r="E89" s="32"/>
      <c r="F89" s="37">
        <f>'Тарифы 22'!D27</f>
        <v>49225.295862773339</v>
      </c>
      <c r="G89" s="37">
        <f>F89*12</f>
        <v>590703.55035328004</v>
      </c>
    </row>
    <row r="90" spans="1:9" x14ac:dyDescent="0.2">
      <c r="A90" s="57" t="s">
        <v>103</v>
      </c>
      <c r="B90" s="52" t="s">
        <v>128</v>
      </c>
      <c r="C90" s="30"/>
      <c r="D90" s="37"/>
      <c r="E90" s="32"/>
      <c r="F90" s="37">
        <f>'Тарифы 22'!D28</f>
        <v>17921.083333333332</v>
      </c>
      <c r="G90" s="37">
        <f>F90*12</f>
        <v>215053</v>
      </c>
    </row>
    <row r="91" spans="1:9" x14ac:dyDescent="0.2">
      <c r="A91" s="57" t="s">
        <v>104</v>
      </c>
      <c r="B91" s="52" t="s">
        <v>105</v>
      </c>
      <c r="C91" s="30"/>
      <c r="D91" s="37"/>
      <c r="E91" s="32"/>
      <c r="F91" s="37">
        <f>G91/12</f>
        <v>5000</v>
      </c>
      <c r="G91" s="37">
        <v>60000</v>
      </c>
    </row>
    <row r="92" spans="1:9" x14ac:dyDescent="0.2">
      <c r="A92" s="153" t="s">
        <v>217</v>
      </c>
      <c r="B92" s="154" t="s">
        <v>216</v>
      </c>
      <c r="C92" s="30"/>
      <c r="D92" s="37"/>
      <c r="E92" s="32"/>
      <c r="F92" s="39">
        <f>F93+F94+F95+F96+F97+F98+F99+F100+F101+F102+F103+F104+F105+F106</f>
        <v>26416.666666666668</v>
      </c>
      <c r="G92" s="39">
        <f>G93+G94+G95+G96+G97+G98+G99+G100+G101+G102+G103+G104+G105+G106</f>
        <v>302000</v>
      </c>
    </row>
    <row r="93" spans="1:9" x14ac:dyDescent="0.2">
      <c r="A93" s="57" t="s">
        <v>218</v>
      </c>
      <c r="B93" s="60" t="s">
        <v>108</v>
      </c>
      <c r="C93" s="30" t="s">
        <v>113</v>
      </c>
      <c r="D93" s="37">
        <v>7</v>
      </c>
      <c r="E93" s="37">
        <v>5000</v>
      </c>
      <c r="F93" s="36">
        <f>G93/12</f>
        <v>2916.6666666666665</v>
      </c>
      <c r="G93" s="37">
        <f>D93*E93</f>
        <v>35000</v>
      </c>
    </row>
    <row r="94" spans="1:9" x14ac:dyDescent="0.2">
      <c r="A94" s="57" t="s">
        <v>219</v>
      </c>
      <c r="B94" s="60" t="s">
        <v>109</v>
      </c>
      <c r="C94" s="30" t="s">
        <v>113</v>
      </c>
      <c r="D94" s="37">
        <v>3</v>
      </c>
      <c r="E94" s="37">
        <v>3000</v>
      </c>
      <c r="F94" s="36">
        <f>G94/12</f>
        <v>750</v>
      </c>
      <c r="G94" s="37">
        <f t="shared" ref="G94:G95" si="5">D94*E94</f>
        <v>9000</v>
      </c>
    </row>
    <row r="95" spans="1:9" x14ac:dyDescent="0.2">
      <c r="A95" s="57" t="s">
        <v>103</v>
      </c>
      <c r="B95" s="60" t="s">
        <v>112</v>
      </c>
      <c r="C95" s="30" t="s">
        <v>113</v>
      </c>
      <c r="D95" s="37">
        <v>3</v>
      </c>
      <c r="E95" s="37">
        <v>3000</v>
      </c>
      <c r="F95" s="36">
        <f t="shared" ref="F95" si="6">G95/12</f>
        <v>750</v>
      </c>
      <c r="G95" s="37">
        <f t="shared" si="5"/>
        <v>9000</v>
      </c>
    </row>
    <row r="96" spans="1:9" ht="25.5" x14ac:dyDescent="0.2">
      <c r="A96" s="57" t="s">
        <v>220</v>
      </c>
      <c r="B96" s="60" t="s">
        <v>211</v>
      </c>
      <c r="C96" s="30"/>
      <c r="D96" s="37">
        <v>5</v>
      </c>
      <c r="E96" s="37">
        <v>3000</v>
      </c>
      <c r="F96" s="36">
        <v>3000</v>
      </c>
      <c r="G96" s="37">
        <f>F96*7</f>
        <v>21000</v>
      </c>
    </row>
    <row r="97" spans="1:9" ht="30" x14ac:dyDescent="0.2">
      <c r="A97" s="57" t="s">
        <v>221</v>
      </c>
      <c r="B97" s="52" t="s">
        <v>134</v>
      </c>
      <c r="C97" s="30" t="s">
        <v>113</v>
      </c>
      <c r="D97" s="37">
        <v>3</v>
      </c>
      <c r="E97" s="32"/>
      <c r="F97" s="36">
        <f t="shared" ref="F97:F106" si="7">G97/12</f>
        <v>750</v>
      </c>
      <c r="G97" s="37">
        <v>9000</v>
      </c>
    </row>
    <row r="98" spans="1:9" x14ac:dyDescent="0.2">
      <c r="A98" s="57" t="s">
        <v>104</v>
      </c>
      <c r="B98" s="52" t="s">
        <v>133</v>
      </c>
      <c r="C98" s="30" t="s">
        <v>9</v>
      </c>
      <c r="D98" s="37">
        <v>1</v>
      </c>
      <c r="E98" s="37"/>
      <c r="F98" s="36">
        <f t="shared" si="7"/>
        <v>125</v>
      </c>
      <c r="G98" s="37">
        <v>1500</v>
      </c>
    </row>
    <row r="99" spans="1:9" x14ac:dyDescent="0.2">
      <c r="A99" s="57" t="s">
        <v>222</v>
      </c>
      <c r="B99" s="52" t="s">
        <v>110</v>
      </c>
      <c r="C99" s="30" t="s">
        <v>9</v>
      </c>
      <c r="D99" s="37">
        <v>5</v>
      </c>
      <c r="E99" s="37"/>
      <c r="F99" s="36">
        <f t="shared" si="7"/>
        <v>925</v>
      </c>
      <c r="G99" s="37">
        <v>11100</v>
      </c>
    </row>
    <row r="100" spans="1:9" x14ac:dyDescent="0.2">
      <c r="A100" s="57" t="s">
        <v>223</v>
      </c>
      <c r="B100" s="60" t="s">
        <v>111</v>
      </c>
      <c r="C100" s="30" t="s">
        <v>63</v>
      </c>
      <c r="D100" s="37">
        <v>1</v>
      </c>
      <c r="E100" s="37"/>
      <c r="F100" s="36">
        <f t="shared" si="7"/>
        <v>483.33333333333331</v>
      </c>
      <c r="G100" s="37">
        <v>5800</v>
      </c>
    </row>
    <row r="101" spans="1:9" x14ac:dyDescent="0.2">
      <c r="A101" s="57" t="s">
        <v>224</v>
      </c>
      <c r="B101" s="52" t="s">
        <v>114</v>
      </c>
      <c r="C101" s="30" t="s">
        <v>115</v>
      </c>
      <c r="D101" s="37">
        <v>1</v>
      </c>
      <c r="E101" s="37"/>
      <c r="F101" s="36">
        <f t="shared" si="7"/>
        <v>1150</v>
      </c>
      <c r="G101" s="25">
        <v>13800</v>
      </c>
    </row>
    <row r="102" spans="1:9" x14ac:dyDescent="0.2">
      <c r="A102" s="57" t="s">
        <v>225</v>
      </c>
      <c r="B102" s="52" t="s">
        <v>140</v>
      </c>
      <c r="C102" s="30" t="s">
        <v>63</v>
      </c>
      <c r="D102" s="37">
        <v>12</v>
      </c>
      <c r="E102" s="32"/>
      <c r="F102" s="36">
        <f t="shared" si="7"/>
        <v>566.66666666666663</v>
      </c>
      <c r="G102" s="37">
        <v>6800</v>
      </c>
    </row>
    <row r="103" spans="1:9" x14ac:dyDescent="0.2">
      <c r="A103" s="57" t="s">
        <v>226</v>
      </c>
      <c r="B103" s="52" t="s">
        <v>116</v>
      </c>
      <c r="C103" s="30" t="s">
        <v>63</v>
      </c>
      <c r="D103" s="37"/>
      <c r="E103" s="37"/>
      <c r="F103" s="36">
        <f t="shared" si="7"/>
        <v>833.33333333333337</v>
      </c>
      <c r="G103" s="48">
        <v>10000</v>
      </c>
    </row>
    <row r="104" spans="1:9" ht="30" x14ac:dyDescent="0.2">
      <c r="A104" s="57" t="s">
        <v>227</v>
      </c>
      <c r="B104" s="52" t="s">
        <v>106</v>
      </c>
      <c r="C104" s="30" t="s">
        <v>63</v>
      </c>
      <c r="D104" s="37">
        <v>12</v>
      </c>
      <c r="E104" s="32"/>
      <c r="F104" s="61">
        <f t="shared" si="7"/>
        <v>5000</v>
      </c>
      <c r="G104" s="37">
        <v>60000</v>
      </c>
    </row>
    <row r="105" spans="1:9" x14ac:dyDescent="0.2">
      <c r="A105" s="57" t="s">
        <v>228</v>
      </c>
      <c r="B105" s="52" t="s">
        <v>141</v>
      </c>
      <c r="C105" s="30"/>
      <c r="D105" s="37"/>
      <c r="E105" s="32"/>
      <c r="F105" s="61">
        <f t="shared" si="7"/>
        <v>4166.666666666667</v>
      </c>
      <c r="G105" s="37">
        <v>50000</v>
      </c>
    </row>
    <row r="106" spans="1:9" x14ac:dyDescent="0.2">
      <c r="A106" s="57" t="s">
        <v>229</v>
      </c>
      <c r="B106" s="52" t="s">
        <v>117</v>
      </c>
      <c r="C106" s="30" t="s">
        <v>63</v>
      </c>
      <c r="D106" s="63"/>
      <c r="E106" s="64"/>
      <c r="F106" s="36">
        <f t="shared" si="7"/>
        <v>5000</v>
      </c>
      <c r="G106" s="37">
        <v>60000</v>
      </c>
    </row>
    <row r="107" spans="1:9" x14ac:dyDescent="0.2">
      <c r="A107" s="153" t="s">
        <v>19</v>
      </c>
      <c r="B107" s="154" t="s">
        <v>107</v>
      </c>
      <c r="C107" s="35"/>
      <c r="D107" s="39"/>
      <c r="E107" s="32"/>
      <c r="F107" s="37">
        <v>0</v>
      </c>
      <c r="G107" s="37">
        <f>G108</f>
        <v>0</v>
      </c>
    </row>
    <row r="108" spans="1:9" x14ac:dyDescent="0.2">
      <c r="A108" s="153"/>
      <c r="B108" s="52" t="s">
        <v>139</v>
      </c>
      <c r="C108" s="35"/>
      <c r="D108" s="39"/>
      <c r="E108" s="32"/>
      <c r="F108" s="37">
        <v>0</v>
      </c>
      <c r="G108" s="37">
        <v>0</v>
      </c>
    </row>
    <row r="109" spans="1:9" x14ac:dyDescent="0.2">
      <c r="A109" s="153" t="s">
        <v>20</v>
      </c>
      <c r="B109" s="154" t="s">
        <v>37</v>
      </c>
      <c r="C109" s="30" t="s">
        <v>63</v>
      </c>
      <c r="D109" s="152"/>
      <c r="E109" s="32"/>
      <c r="F109" s="38">
        <f>G109/12</f>
        <v>40583.333333333336</v>
      </c>
      <c r="G109" s="39">
        <v>487000</v>
      </c>
    </row>
    <row r="110" spans="1:9" x14ac:dyDescent="0.2">
      <c r="A110" s="153" t="s">
        <v>21</v>
      </c>
      <c r="B110" s="65" t="s">
        <v>39</v>
      </c>
      <c r="C110" s="30" t="s">
        <v>63</v>
      </c>
      <c r="D110" s="152"/>
      <c r="E110" s="37"/>
      <c r="F110" s="38">
        <f>G110/12</f>
        <v>64450.416666666664</v>
      </c>
      <c r="G110" s="39">
        <v>773405</v>
      </c>
      <c r="I110" s="3"/>
    </row>
    <row r="111" spans="1:9" x14ac:dyDescent="0.2">
      <c r="A111" s="153" t="s">
        <v>23</v>
      </c>
      <c r="B111" s="65" t="s">
        <v>41</v>
      </c>
      <c r="C111" s="30" t="s">
        <v>63</v>
      </c>
      <c r="D111" s="152">
        <v>12</v>
      </c>
      <c r="E111" s="37"/>
      <c r="F111" s="38">
        <v>20360</v>
      </c>
      <c r="G111" s="39">
        <f>F111*12</f>
        <v>244320</v>
      </c>
    </row>
    <row r="112" spans="1:9" x14ac:dyDescent="0.2">
      <c r="A112" s="153" t="s">
        <v>25</v>
      </c>
      <c r="B112" s="65" t="s">
        <v>43</v>
      </c>
      <c r="C112" s="30" t="s">
        <v>63</v>
      </c>
      <c r="D112" s="152">
        <v>12</v>
      </c>
      <c r="E112" s="37"/>
      <c r="F112" s="38">
        <v>9000</v>
      </c>
      <c r="G112" s="39">
        <f>F112*12</f>
        <v>108000</v>
      </c>
    </row>
    <row r="113" spans="1:7" ht="28.5" x14ac:dyDescent="0.2">
      <c r="A113" s="153" t="s">
        <v>27</v>
      </c>
      <c r="B113" s="65" t="s">
        <v>55</v>
      </c>
      <c r="C113" s="152" t="s">
        <v>118</v>
      </c>
      <c r="D113" s="152">
        <v>2.6</v>
      </c>
      <c r="E113" s="32"/>
      <c r="F113" s="38">
        <f>G113/12</f>
        <v>24858.57684512575</v>
      </c>
      <c r="G113" s="39">
        <v>298302.92214150901</v>
      </c>
    </row>
    <row r="114" spans="1:7" ht="12.75" customHeight="1" x14ac:dyDescent="0.2">
      <c r="A114" s="162" t="s">
        <v>119</v>
      </c>
      <c r="B114" s="162"/>
      <c r="C114" s="162"/>
      <c r="D114" s="162"/>
      <c r="E114" s="162"/>
      <c r="F114" s="162"/>
      <c r="G114" s="45">
        <f>G115+G116+G117+G118+G119+G120+G121</f>
        <v>5624391.5</v>
      </c>
    </row>
    <row r="115" spans="1:7" x14ac:dyDescent="0.25">
      <c r="A115" s="153" t="s">
        <v>29</v>
      </c>
      <c r="B115" s="66" t="s">
        <v>33</v>
      </c>
      <c r="C115" s="67" t="s">
        <v>47</v>
      </c>
      <c r="D115" s="68"/>
      <c r="E115" s="31">
        <v>2.8</v>
      </c>
      <c r="F115" s="30">
        <f>G115/12</f>
        <v>112023.66666666667</v>
      </c>
      <c r="G115" s="47">
        <v>1344284</v>
      </c>
    </row>
    <row r="116" spans="1:7" x14ac:dyDescent="0.25">
      <c r="A116" s="153" t="s">
        <v>30</v>
      </c>
      <c r="B116" s="60" t="s">
        <v>35</v>
      </c>
      <c r="C116" s="69" t="s">
        <v>47</v>
      </c>
      <c r="D116" s="68"/>
      <c r="E116" s="32">
        <v>1.1599999999999999</v>
      </c>
      <c r="F116" s="30">
        <f t="shared" ref="F116:F121" si="8">G116/12</f>
        <v>16035.833333333334</v>
      </c>
      <c r="G116" s="47">
        <v>192430</v>
      </c>
    </row>
    <row r="117" spans="1:7" ht="12.75" customHeight="1" x14ac:dyDescent="0.25">
      <c r="A117" s="163" t="s">
        <v>32</v>
      </c>
      <c r="B117" s="66" t="s">
        <v>49</v>
      </c>
      <c r="C117" s="67" t="s">
        <v>50</v>
      </c>
      <c r="D117" s="68"/>
      <c r="E117" s="31">
        <v>15.89</v>
      </c>
      <c r="F117" s="30">
        <f t="shared" si="8"/>
        <v>21679.166666666668</v>
      </c>
      <c r="G117" s="47">
        <v>260150</v>
      </c>
    </row>
    <row r="118" spans="1:7" x14ac:dyDescent="0.25">
      <c r="A118" s="163"/>
      <c r="B118" s="66" t="s">
        <v>48</v>
      </c>
      <c r="C118" s="67" t="s">
        <v>50</v>
      </c>
      <c r="D118" s="68"/>
      <c r="E118" s="31">
        <v>15.89</v>
      </c>
      <c r="F118" s="30">
        <f t="shared" si="8"/>
        <v>29673.958333333332</v>
      </c>
      <c r="G118" s="47">
        <v>356087.5</v>
      </c>
    </row>
    <row r="119" spans="1:7" ht="12.75" customHeight="1" x14ac:dyDescent="0.25">
      <c r="A119" s="163" t="s">
        <v>34</v>
      </c>
      <c r="B119" s="66" t="s">
        <v>52</v>
      </c>
      <c r="C119" s="67" t="s">
        <v>50</v>
      </c>
      <c r="D119" s="68"/>
      <c r="E119" s="31">
        <v>60.820000000000007</v>
      </c>
      <c r="F119" s="30">
        <f t="shared" si="8"/>
        <v>102984.75</v>
      </c>
      <c r="G119" s="47">
        <v>1235817</v>
      </c>
    </row>
    <row r="120" spans="1:7" x14ac:dyDescent="0.25">
      <c r="A120" s="163"/>
      <c r="B120" s="66" t="s">
        <v>120</v>
      </c>
      <c r="C120" s="67" t="s">
        <v>50</v>
      </c>
      <c r="D120" s="68"/>
      <c r="E120" s="31">
        <v>60.820000000000007</v>
      </c>
      <c r="F120" s="30">
        <f t="shared" si="8"/>
        <v>13975.916666666666</v>
      </c>
      <c r="G120" s="47">
        <v>167711</v>
      </c>
    </row>
    <row r="121" spans="1:7" x14ac:dyDescent="0.25">
      <c r="A121" s="153" t="s">
        <v>36</v>
      </c>
      <c r="B121" s="66" t="s">
        <v>53</v>
      </c>
      <c r="C121" s="67" t="s">
        <v>54</v>
      </c>
      <c r="D121" s="68"/>
      <c r="E121" s="40">
        <v>11.856</v>
      </c>
      <c r="F121" s="30">
        <f t="shared" si="8"/>
        <v>172326</v>
      </c>
      <c r="G121" s="47">
        <v>2067912</v>
      </c>
    </row>
    <row r="122" spans="1:7" ht="12.75" customHeight="1" x14ac:dyDescent="0.25">
      <c r="A122" s="70"/>
      <c r="B122" s="164" t="s">
        <v>232</v>
      </c>
      <c r="C122" s="164"/>
      <c r="D122" s="164"/>
      <c r="E122" s="164"/>
      <c r="F122" s="164"/>
      <c r="G122" s="45">
        <f>G123+G124+G125+G126+G127+G128+G129+G130+G131+G132+G133+G134+G135+G136+G137</f>
        <v>10091423.495999999</v>
      </c>
    </row>
    <row r="123" spans="1:7" ht="12.75" customHeight="1" x14ac:dyDescent="0.2">
      <c r="A123" s="153" t="s">
        <v>18</v>
      </c>
      <c r="B123" s="41" t="s">
        <v>24</v>
      </c>
      <c r="C123" s="152"/>
      <c r="D123" s="152"/>
      <c r="E123" s="49"/>
      <c r="F123" s="152"/>
      <c r="G123" s="37">
        <f>G18+G34-G57</f>
        <v>141317</v>
      </c>
    </row>
    <row r="124" spans="1:7" ht="20.25" customHeight="1" x14ac:dyDescent="0.2">
      <c r="A124" s="153" t="s">
        <v>19</v>
      </c>
      <c r="B124" s="41" t="s">
        <v>121</v>
      </c>
      <c r="C124" s="152"/>
      <c r="D124" s="152"/>
      <c r="E124" s="49"/>
      <c r="F124" s="152"/>
      <c r="G124" s="37">
        <f>G19+G53</f>
        <v>160267.18</v>
      </c>
    </row>
    <row r="125" spans="1:7" x14ac:dyDescent="0.2">
      <c r="A125" s="161" t="s">
        <v>20</v>
      </c>
      <c r="B125" s="41" t="s">
        <v>149</v>
      </c>
      <c r="C125" s="152"/>
      <c r="D125" s="152"/>
      <c r="E125" s="49"/>
      <c r="F125" s="152"/>
      <c r="G125" s="37">
        <f>G20+G35+G54</f>
        <v>9060671.4560000002</v>
      </c>
    </row>
    <row r="126" spans="1:7" ht="12.75" customHeight="1" x14ac:dyDescent="0.25">
      <c r="A126" s="161" t="s">
        <v>21</v>
      </c>
      <c r="B126" s="50" t="s">
        <v>37</v>
      </c>
      <c r="C126" s="152"/>
      <c r="D126" s="152"/>
      <c r="E126" s="49"/>
      <c r="F126" s="152"/>
      <c r="G126" s="37">
        <f>G21+G36-G109</f>
        <v>-24587.140000000014</v>
      </c>
    </row>
    <row r="127" spans="1:7" ht="12.75" customHeight="1" x14ac:dyDescent="0.25">
      <c r="A127" s="161" t="s">
        <v>23</v>
      </c>
      <c r="B127" s="50" t="s">
        <v>39</v>
      </c>
      <c r="C127" s="152"/>
      <c r="D127" s="152"/>
      <c r="E127" s="49"/>
      <c r="F127" s="152"/>
      <c r="G127" s="44">
        <f>G22+G37-G110</f>
        <v>-96111</v>
      </c>
    </row>
    <row r="128" spans="1:7" ht="12.75" customHeight="1" x14ac:dyDescent="0.25">
      <c r="A128" s="161" t="s">
        <v>25</v>
      </c>
      <c r="B128" s="50" t="s">
        <v>41</v>
      </c>
      <c r="C128" s="152"/>
      <c r="D128" s="152"/>
      <c r="E128" s="49"/>
      <c r="F128" s="152"/>
      <c r="G128" s="44">
        <f>G23+G38-G111</f>
        <v>39</v>
      </c>
    </row>
    <row r="129" spans="1:7" ht="12.75" customHeight="1" x14ac:dyDescent="0.25">
      <c r="A129" s="161" t="s">
        <v>27</v>
      </c>
      <c r="B129" s="50" t="s">
        <v>43</v>
      </c>
      <c r="C129" s="152"/>
      <c r="D129" s="152"/>
      <c r="E129" s="49"/>
      <c r="F129" s="152"/>
      <c r="G129" s="44">
        <f>G24+G39-G112</f>
        <v>88</v>
      </c>
    </row>
    <row r="130" spans="1:7" ht="12.75" customHeight="1" x14ac:dyDescent="0.2">
      <c r="A130" s="161" t="s">
        <v>29</v>
      </c>
      <c r="B130" s="41" t="s">
        <v>33</v>
      </c>
      <c r="C130" s="152"/>
      <c r="D130" s="152"/>
      <c r="E130" s="49"/>
      <c r="F130" s="152"/>
      <c r="G130" s="37">
        <f>G25+G40-G115</f>
        <v>15275.5</v>
      </c>
    </row>
    <row r="131" spans="1:7" ht="12.75" customHeight="1" x14ac:dyDescent="0.2">
      <c r="A131" s="161" t="s">
        <v>30</v>
      </c>
      <c r="B131" s="41" t="s">
        <v>35</v>
      </c>
      <c r="C131" s="152"/>
      <c r="D131" s="152"/>
      <c r="E131" s="49"/>
      <c r="F131" s="152"/>
      <c r="G131" s="37">
        <f>G26+G41-G116</f>
        <v>1679</v>
      </c>
    </row>
    <row r="132" spans="1:7" ht="12.75" customHeight="1" x14ac:dyDescent="0.2">
      <c r="A132" s="161" t="s">
        <v>32</v>
      </c>
      <c r="B132" s="41" t="s">
        <v>28</v>
      </c>
      <c r="C132" s="152"/>
      <c r="D132" s="152"/>
      <c r="E132" s="49"/>
      <c r="F132" s="152"/>
      <c r="G132" s="37">
        <f>G27+G42-G117-G118</f>
        <v>-225053.5</v>
      </c>
    </row>
    <row r="133" spans="1:7" ht="12.75" customHeight="1" x14ac:dyDescent="0.2">
      <c r="A133" s="161" t="s">
        <v>34</v>
      </c>
      <c r="B133" s="41" t="s">
        <v>26</v>
      </c>
      <c r="C133" s="152"/>
      <c r="D133" s="152"/>
      <c r="E133" s="49"/>
      <c r="F133" s="152"/>
      <c r="G133" s="37">
        <f>G28+G45-G119-G120</f>
        <v>581252.5</v>
      </c>
    </row>
    <row r="134" spans="1:7" ht="12.75" customHeight="1" x14ac:dyDescent="0.2">
      <c r="A134" s="161" t="s">
        <v>36</v>
      </c>
      <c r="B134" s="41" t="s">
        <v>122</v>
      </c>
      <c r="C134" s="152"/>
      <c r="D134" s="152"/>
      <c r="E134" s="49"/>
      <c r="F134" s="152"/>
      <c r="G134" s="37">
        <f>G29+G48-G121</f>
        <v>188342.5</v>
      </c>
    </row>
    <row r="135" spans="1:7" ht="12.75" customHeight="1" x14ac:dyDescent="0.2">
      <c r="A135" s="161" t="s">
        <v>38</v>
      </c>
      <c r="B135" s="41" t="s">
        <v>31</v>
      </c>
      <c r="C135" s="152"/>
      <c r="D135" s="152"/>
      <c r="E135" s="49"/>
      <c r="F135" s="152"/>
      <c r="G135" s="37">
        <f>G30+G52</f>
        <v>-8345</v>
      </c>
    </row>
    <row r="136" spans="1:7" ht="12.75" customHeight="1" x14ac:dyDescent="0.2">
      <c r="A136" s="161" t="s">
        <v>40</v>
      </c>
      <c r="B136" s="41" t="s">
        <v>123</v>
      </c>
      <c r="C136" s="152"/>
      <c r="D136" s="152"/>
      <c r="E136" s="49"/>
      <c r="F136" s="152"/>
      <c r="G136" s="37">
        <f>G31+G50</f>
        <v>41888</v>
      </c>
    </row>
    <row r="137" spans="1:7" ht="12.75" customHeight="1" x14ac:dyDescent="0.25">
      <c r="A137" s="161" t="s">
        <v>42</v>
      </c>
      <c r="B137" s="50" t="s">
        <v>62</v>
      </c>
      <c r="C137" s="152"/>
      <c r="D137" s="152"/>
      <c r="E137" s="49"/>
      <c r="F137" s="152"/>
      <c r="G137" s="44">
        <f>G32+G55</f>
        <v>254700</v>
      </c>
    </row>
  </sheetData>
  <mergeCells count="23">
    <mergeCell ref="A10:B10"/>
    <mergeCell ref="A2:G2"/>
    <mergeCell ref="A4:G4"/>
    <mergeCell ref="A5:G5"/>
    <mergeCell ref="A7:G7"/>
    <mergeCell ref="A8:G8"/>
    <mergeCell ref="A11:B11"/>
    <mergeCell ref="A12:B12"/>
    <mergeCell ref="A13:A16"/>
    <mergeCell ref="B13:B16"/>
    <mergeCell ref="C13:C16"/>
    <mergeCell ref="A114:F114"/>
    <mergeCell ref="A117:A118"/>
    <mergeCell ref="A119:A120"/>
    <mergeCell ref="B122:F122"/>
    <mergeCell ref="F13:G14"/>
    <mergeCell ref="F15:F16"/>
    <mergeCell ref="G15:G16"/>
    <mergeCell ref="B17:D17"/>
    <mergeCell ref="A56:E56"/>
    <mergeCell ref="A33:E33"/>
    <mergeCell ref="D13:D16"/>
    <mergeCell ref="E13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 21</vt:lpstr>
      <vt:lpstr>Тарифы 21</vt:lpstr>
      <vt:lpstr>Тарифы 22</vt:lpstr>
      <vt:lpstr>Смета 22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Lesha</dc:creator>
  <cp:lastModifiedBy>kleptsov.ra</cp:lastModifiedBy>
  <cp:revision>1</cp:revision>
  <cp:lastPrinted>2021-06-19T13:22:44Z</cp:lastPrinted>
  <dcterms:created xsi:type="dcterms:W3CDTF">2017-03-15T12:23:53Z</dcterms:created>
  <dcterms:modified xsi:type="dcterms:W3CDTF">2022-07-14T15:50:59Z</dcterms:modified>
</cp:coreProperties>
</file>