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373" activeTab="2"/>
  </bookViews>
  <sheets>
    <sheet name="Исполнение сметы 20" sheetId="28" r:id="rId1"/>
    <sheet name="Смета 21" sheetId="29" r:id="rId2"/>
    <sheet name="Тарифы" sheetId="30" r:id="rId3"/>
  </sheets>
  <externalReferences>
    <externalReference r:id="rId4"/>
  </externalReferences>
  <definedNames>
    <definedName name="_xlnm.Print_Area" localSheetId="0">'Исполнение сметы 20'!$A$1:$I$144</definedName>
  </definedNames>
  <calcPr calcId="145621" refMode="R1C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32" i="30" l="1"/>
  <c r="G112" i="29"/>
  <c r="F39" i="29"/>
  <c r="G39" i="29"/>
  <c r="E33" i="30"/>
  <c r="G38" i="29"/>
  <c r="G100" i="29"/>
  <c r="E26" i="30"/>
  <c r="F93" i="29"/>
  <c r="G92" i="29"/>
  <c r="F92" i="29"/>
  <c r="F91" i="29"/>
  <c r="G91" i="29" s="1"/>
  <c r="F90" i="29"/>
  <c r="E18" i="30" l="1"/>
  <c r="E36" i="30"/>
  <c r="E29" i="30"/>
  <c r="D109" i="30" l="1"/>
  <c r="C109" i="30"/>
  <c r="F108" i="30"/>
  <c r="E108" i="30"/>
  <c r="G108" i="30" s="1"/>
  <c r="F107" i="30"/>
  <c r="E107" i="30"/>
  <c r="G107" i="30" s="1"/>
  <c r="F106" i="30"/>
  <c r="E106" i="30"/>
  <c r="G106" i="30" s="1"/>
  <c r="F105" i="30"/>
  <c r="E105" i="30"/>
  <c r="G105" i="30" s="1"/>
  <c r="F104" i="30"/>
  <c r="E104" i="30"/>
  <c r="G104" i="30" s="1"/>
  <c r="F103" i="30"/>
  <c r="E103" i="30"/>
  <c r="G103" i="30" s="1"/>
  <c r="F102" i="30"/>
  <c r="E102" i="30"/>
  <c r="G102" i="30" s="1"/>
  <c r="F101" i="30"/>
  <c r="E101" i="30"/>
  <c r="G101" i="30" s="1"/>
  <c r="F100" i="30"/>
  <c r="E100" i="30"/>
  <c r="G100" i="30" s="1"/>
  <c r="F99" i="30"/>
  <c r="F109" i="30" s="1"/>
  <c r="E99" i="30"/>
  <c r="E109" i="30" s="1"/>
  <c r="D94" i="30"/>
  <c r="C94" i="30"/>
  <c r="F93" i="30"/>
  <c r="E93" i="30"/>
  <c r="G93" i="30" s="1"/>
  <c r="F92" i="30"/>
  <c r="E92" i="30"/>
  <c r="G92" i="30" s="1"/>
  <c r="F91" i="30"/>
  <c r="E91" i="30"/>
  <c r="G91" i="30" s="1"/>
  <c r="F90" i="30"/>
  <c r="E90" i="30"/>
  <c r="G90" i="30" s="1"/>
  <c r="F89" i="30"/>
  <c r="E89" i="30"/>
  <c r="G89" i="30" s="1"/>
  <c r="F88" i="30"/>
  <c r="E88" i="30"/>
  <c r="G88" i="30" s="1"/>
  <c r="F87" i="30"/>
  <c r="E87" i="30"/>
  <c r="G87" i="30" s="1"/>
  <c r="F86" i="30"/>
  <c r="E86" i="30"/>
  <c r="G86" i="30" s="1"/>
  <c r="F85" i="30"/>
  <c r="E85" i="30"/>
  <c r="G85" i="30" s="1"/>
  <c r="F84" i="30"/>
  <c r="F94" i="30" s="1"/>
  <c r="E84" i="30"/>
  <c r="E94" i="30" s="1"/>
  <c r="D79" i="30"/>
  <c r="C79" i="30"/>
  <c r="F78" i="30"/>
  <c r="E78" i="30"/>
  <c r="G78" i="30" s="1"/>
  <c r="F77" i="30"/>
  <c r="E77" i="30"/>
  <c r="G77" i="30" s="1"/>
  <c r="F76" i="30"/>
  <c r="E76" i="30"/>
  <c r="G76" i="30" s="1"/>
  <c r="F75" i="30"/>
  <c r="E75" i="30"/>
  <c r="G75" i="30" s="1"/>
  <c r="F74" i="30"/>
  <c r="E74" i="30"/>
  <c r="G74" i="30" s="1"/>
  <c r="F73" i="30"/>
  <c r="E73" i="30"/>
  <c r="G73" i="30" s="1"/>
  <c r="F72" i="30"/>
  <c r="E72" i="30"/>
  <c r="G72" i="30" s="1"/>
  <c r="F71" i="30"/>
  <c r="E71" i="30"/>
  <c r="G71" i="30" s="1"/>
  <c r="F70" i="30"/>
  <c r="E70" i="30"/>
  <c r="G70" i="30" s="1"/>
  <c r="F69" i="30"/>
  <c r="F79" i="30" s="1"/>
  <c r="E69" i="30"/>
  <c r="E79" i="30" s="1"/>
  <c r="D64" i="30"/>
  <c r="C64" i="30"/>
  <c r="F63" i="30"/>
  <c r="E63" i="30"/>
  <c r="G63" i="30" s="1"/>
  <c r="F62" i="30"/>
  <c r="E62" i="30"/>
  <c r="G62" i="30" s="1"/>
  <c r="F61" i="30"/>
  <c r="E61" i="30"/>
  <c r="G61" i="30" s="1"/>
  <c r="F60" i="30"/>
  <c r="E60" i="30"/>
  <c r="G60" i="30" s="1"/>
  <c r="F59" i="30"/>
  <c r="E59" i="30"/>
  <c r="G59" i="30" s="1"/>
  <c r="F58" i="30"/>
  <c r="E58" i="30"/>
  <c r="G58" i="30" s="1"/>
  <c r="F57" i="30"/>
  <c r="E57" i="30"/>
  <c r="G57" i="30" s="1"/>
  <c r="F56" i="30"/>
  <c r="E56" i="30"/>
  <c r="G56" i="30" s="1"/>
  <c r="F55" i="30"/>
  <c r="E55" i="30"/>
  <c r="G55" i="30" s="1"/>
  <c r="F54" i="30"/>
  <c r="F64" i="30" s="1"/>
  <c r="E54" i="30"/>
  <c r="E64" i="30" s="1"/>
  <c r="D36" i="30"/>
  <c r="E34" i="30"/>
  <c r="D34" i="30" s="1"/>
  <c r="F34" i="30" s="1"/>
  <c r="D33" i="30"/>
  <c r="F33" i="30" s="1"/>
  <c r="D32" i="30"/>
  <c r="D29" i="30"/>
  <c r="D26" i="30"/>
  <c r="E21" i="30"/>
  <c r="D21" i="30" s="1"/>
  <c r="E20" i="30"/>
  <c r="D20" i="30" s="1"/>
  <c r="D18" i="30"/>
  <c r="G54" i="30" l="1"/>
  <c r="G64" i="30" s="1"/>
  <c r="G69" i="30"/>
  <c r="G79" i="30" s="1"/>
  <c r="G84" i="30"/>
  <c r="G94" i="30" s="1"/>
  <c r="G99" i="30"/>
  <c r="G109" i="30" s="1"/>
  <c r="G73" i="29"/>
  <c r="E22" i="30" s="1"/>
  <c r="D22" i="30" s="1"/>
  <c r="F24" i="29"/>
  <c r="F18" i="29"/>
  <c r="G140" i="29"/>
  <c r="G139" i="29"/>
  <c r="G138" i="29"/>
  <c r="G126" i="29"/>
  <c r="F123" i="29"/>
  <c r="F122" i="29"/>
  <c r="F121" i="29"/>
  <c r="F120" i="29"/>
  <c r="F119" i="29"/>
  <c r="F118" i="29"/>
  <c r="F117" i="29"/>
  <c r="G116" i="29"/>
  <c r="G114" i="29"/>
  <c r="G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G99" i="29"/>
  <c r="F99" i="29" s="1"/>
  <c r="G98" i="29"/>
  <c r="F98" i="29" s="1"/>
  <c r="G97" i="29"/>
  <c r="G94" i="29"/>
  <c r="F88" i="29"/>
  <c r="F86" i="29" s="1"/>
  <c r="F87" i="29"/>
  <c r="G86" i="29"/>
  <c r="E24" i="30" s="1"/>
  <c r="D24" i="30" s="1"/>
  <c r="F85" i="29"/>
  <c r="F84" i="29"/>
  <c r="F83" i="29"/>
  <c r="F82" i="29"/>
  <c r="F81" i="29"/>
  <c r="F80" i="29"/>
  <c r="F79" i="29"/>
  <c r="F78" i="29"/>
  <c r="G77" i="29"/>
  <c r="E23" i="30" s="1"/>
  <c r="D23" i="30" s="1"/>
  <c r="F76" i="29"/>
  <c r="F75" i="29"/>
  <c r="F74" i="29"/>
  <c r="F73" i="29" s="1"/>
  <c r="F72" i="29"/>
  <c r="F71" i="29"/>
  <c r="G71" i="29" s="1"/>
  <c r="F70" i="29"/>
  <c r="G70" i="29" s="1"/>
  <c r="F69" i="29"/>
  <c r="F68" i="29"/>
  <c r="F67" i="29"/>
  <c r="F65" i="29"/>
  <c r="F64" i="29"/>
  <c r="F63" i="29"/>
  <c r="F62" i="29"/>
  <c r="G61" i="29"/>
  <c r="F60" i="29"/>
  <c r="F57" i="29"/>
  <c r="F56" i="29"/>
  <c r="F55" i="29"/>
  <c r="F54" i="29"/>
  <c r="F53" i="29"/>
  <c r="F52" i="29"/>
  <c r="G50" i="29"/>
  <c r="F50" i="29" s="1"/>
  <c r="G49" i="29"/>
  <c r="F49" i="29"/>
  <c r="G48" i="29"/>
  <c r="F48" i="29" s="1"/>
  <c r="G46" i="29"/>
  <c r="F46" i="29" s="1"/>
  <c r="G45" i="29"/>
  <c r="F45" i="29" s="1"/>
  <c r="G43" i="29"/>
  <c r="G134" i="29" s="1"/>
  <c r="G42" i="29"/>
  <c r="F42" i="29" s="1"/>
  <c r="G41" i="29"/>
  <c r="G40" i="29"/>
  <c r="F40" i="29" s="1"/>
  <c r="F38" i="29"/>
  <c r="F36" i="29"/>
  <c r="G36" i="29" s="1"/>
  <c r="F33" i="29"/>
  <c r="F32" i="29"/>
  <c r="F31" i="29"/>
  <c r="F30" i="29"/>
  <c r="F29" i="29"/>
  <c r="F28" i="29"/>
  <c r="F27" i="29"/>
  <c r="F26" i="29"/>
  <c r="F25" i="29"/>
  <c r="G23" i="29"/>
  <c r="G130" i="29" s="1"/>
  <c r="F22" i="29"/>
  <c r="F21" i="29"/>
  <c r="F20" i="29"/>
  <c r="F19" i="29"/>
  <c r="G132" i="29" l="1"/>
  <c r="E35" i="30"/>
  <c r="D35" i="30" s="1"/>
  <c r="F35" i="30" s="1"/>
  <c r="E19" i="30"/>
  <c r="D19" i="30" s="1"/>
  <c r="F77" i="29"/>
  <c r="G127" i="29"/>
  <c r="E30" i="30"/>
  <c r="D30" i="30" s="1"/>
  <c r="F47" i="29"/>
  <c r="F97" i="29"/>
  <c r="G96" i="29"/>
  <c r="G37" i="29" s="1"/>
  <c r="E27" i="30"/>
  <c r="E28" i="30"/>
  <c r="D28" i="30" s="1"/>
  <c r="G17" i="29"/>
  <c r="F17" i="29" s="1"/>
  <c r="F44" i="29"/>
  <c r="G47" i="29"/>
  <c r="G136" i="29" s="1"/>
  <c r="G44" i="29"/>
  <c r="G135" i="29" s="1"/>
  <c r="G69" i="29"/>
  <c r="G128" i="29"/>
  <c r="F61" i="29"/>
  <c r="F23" i="29"/>
  <c r="G129" i="29"/>
  <c r="G131" i="29"/>
  <c r="G133" i="29"/>
  <c r="G137" i="29"/>
  <c r="F41" i="29"/>
  <c r="F43" i="29"/>
  <c r="F96" i="29" l="1"/>
  <c r="F58" i="29" s="1"/>
  <c r="F37" i="29"/>
  <c r="E31" i="30"/>
  <c r="D31" i="30" s="1"/>
  <c r="F31" i="30" s="1"/>
  <c r="E25" i="30"/>
  <c r="D27" i="30"/>
  <c r="F34" i="29"/>
  <c r="G89" i="29"/>
  <c r="G59" i="29" s="1"/>
  <c r="F89" i="29"/>
  <c r="D25" i="30" l="1"/>
  <c r="E17" i="30"/>
  <c r="F17" i="30" s="1"/>
  <c r="G58" i="29"/>
  <c r="G35" i="29"/>
  <c r="D17" i="30" l="1"/>
  <c r="E16" i="30"/>
  <c r="D16" i="30" s="1"/>
  <c r="G34" i="29"/>
  <c r="G125" i="29"/>
  <c r="G124" i="29" s="1"/>
  <c r="H87" i="28" l="1"/>
  <c r="I87" i="28" s="1"/>
  <c r="I121" i="28"/>
  <c r="I122" i="28"/>
  <c r="I123" i="28"/>
  <c r="I124" i="28"/>
  <c r="I125" i="28"/>
  <c r="I126" i="28"/>
  <c r="I127" i="28"/>
  <c r="I60" i="28"/>
  <c r="I62" i="28"/>
  <c r="I63" i="28"/>
  <c r="I64" i="28"/>
  <c r="I65" i="28"/>
  <c r="I67" i="28"/>
  <c r="I68" i="28"/>
  <c r="I72" i="28"/>
  <c r="I74" i="28"/>
  <c r="I75" i="28"/>
  <c r="I76" i="28"/>
  <c r="I78" i="28"/>
  <c r="I80" i="28"/>
  <c r="I81" i="28"/>
  <c r="I82" i="28"/>
  <c r="I83" i="28"/>
  <c r="I84" i="28"/>
  <c r="I85" i="28"/>
  <c r="I86" i="28"/>
  <c r="I90" i="28"/>
  <c r="I93" i="28"/>
  <c r="I96" i="28"/>
  <c r="I98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9" i="28"/>
  <c r="I35" i="28"/>
  <c r="I51" i="28"/>
  <c r="I52" i="28"/>
  <c r="I53" i="28"/>
  <c r="I54" i="28"/>
  <c r="I55" i="28"/>
  <c r="I56" i="28"/>
  <c r="I5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H79" i="28" l="1"/>
  <c r="H144" i="28"/>
  <c r="G144" i="28"/>
  <c r="H143" i="28"/>
  <c r="G143" i="28"/>
  <c r="H142" i="28"/>
  <c r="I142" i="28" s="1"/>
  <c r="G142" i="28"/>
  <c r="H141" i="28"/>
  <c r="H138" i="28"/>
  <c r="H137" i="28"/>
  <c r="H136" i="28"/>
  <c r="H135" i="28"/>
  <c r="H134" i="28"/>
  <c r="H133" i="28"/>
  <c r="H131" i="28"/>
  <c r="H130" i="28"/>
  <c r="I130" i="28" s="1"/>
  <c r="G130" i="28"/>
  <c r="G129" i="28"/>
  <c r="F127" i="28"/>
  <c r="F126" i="28"/>
  <c r="F125" i="28"/>
  <c r="F124" i="28"/>
  <c r="F123" i="28"/>
  <c r="F122" i="28"/>
  <c r="F121" i="28"/>
  <c r="H120" i="28"/>
  <c r="I120" i="28" s="1"/>
  <c r="G120" i="28"/>
  <c r="G118" i="28"/>
  <c r="I118" i="28" s="1"/>
  <c r="G117" i="28"/>
  <c r="I117" i="28" s="1"/>
  <c r="G116" i="28"/>
  <c r="I116" i="28" s="1"/>
  <c r="G115" i="28"/>
  <c r="I115" i="28" s="1"/>
  <c r="F114" i="28"/>
  <c r="F113" i="28"/>
  <c r="F112" i="28"/>
  <c r="F111" i="28"/>
  <c r="F110" i="28"/>
  <c r="F109" i="28"/>
  <c r="F108" i="28"/>
  <c r="F107" i="28"/>
  <c r="F106" i="28"/>
  <c r="F105" i="28"/>
  <c r="F104" i="28"/>
  <c r="F103" i="28"/>
  <c r="G102" i="28"/>
  <c r="G101" i="28"/>
  <c r="G100" i="28"/>
  <c r="H99" i="28"/>
  <c r="G99" i="28"/>
  <c r="G97" i="28"/>
  <c r="F96" i="28"/>
  <c r="G95" i="28"/>
  <c r="I95" i="28" s="1"/>
  <c r="F95" i="28"/>
  <c r="F94" i="28" s="1"/>
  <c r="G94" i="28" s="1"/>
  <c r="H92" i="28"/>
  <c r="G91" i="28"/>
  <c r="F90" i="28"/>
  <c r="G89" i="28"/>
  <c r="I89" i="28" s="1"/>
  <c r="F89" i="28"/>
  <c r="H88" i="28"/>
  <c r="G88" i="28"/>
  <c r="F87" i="28"/>
  <c r="F86" i="28"/>
  <c r="F85" i="28"/>
  <c r="F84" i="28"/>
  <c r="F83" i="28"/>
  <c r="F82" i="28"/>
  <c r="F81" i="28"/>
  <c r="F80" i="28"/>
  <c r="G79" i="28"/>
  <c r="F79" i="28"/>
  <c r="F78" i="28"/>
  <c r="G77" i="28"/>
  <c r="F76" i="28"/>
  <c r="F75" i="28"/>
  <c r="F74" i="28"/>
  <c r="H73" i="28"/>
  <c r="F72" i="28"/>
  <c r="F71" i="28"/>
  <c r="G71" i="28" s="1"/>
  <c r="I71" i="28" s="1"/>
  <c r="F70" i="28"/>
  <c r="G70" i="28" s="1"/>
  <c r="I70" i="28" s="1"/>
  <c r="H69" i="28"/>
  <c r="F69" i="28"/>
  <c r="F68" i="28"/>
  <c r="F67" i="28"/>
  <c r="G66" i="28"/>
  <c r="I66" i="28" s="1"/>
  <c r="F65" i="28"/>
  <c r="F64" i="28"/>
  <c r="F63" i="28"/>
  <c r="F62" i="28"/>
  <c r="H61" i="28"/>
  <c r="I61" i="28" s="1"/>
  <c r="G61" i="28"/>
  <c r="F61" i="28"/>
  <c r="F60" i="28"/>
  <c r="F57" i="28"/>
  <c r="F56" i="28"/>
  <c r="F55" i="28"/>
  <c r="F54" i="28"/>
  <c r="F53" i="28"/>
  <c r="F52" i="28"/>
  <c r="G50" i="28"/>
  <c r="G49" i="28"/>
  <c r="I49" i="28" s="1"/>
  <c r="F49" i="28"/>
  <c r="G48" i="28"/>
  <c r="H47" i="28"/>
  <c r="G46" i="28"/>
  <c r="I46" i="28" s="1"/>
  <c r="F46" i="28"/>
  <c r="G45" i="28"/>
  <c r="I45" i="28" s="1"/>
  <c r="F45" i="28"/>
  <c r="F44" i="28" s="1"/>
  <c r="H44" i="28"/>
  <c r="G44" i="28"/>
  <c r="G139" i="28" s="1"/>
  <c r="G43" i="28"/>
  <c r="G42" i="28"/>
  <c r="G41" i="28"/>
  <c r="G40" i="28"/>
  <c r="G39" i="28"/>
  <c r="G38" i="28"/>
  <c r="G37" i="28"/>
  <c r="G36" i="28"/>
  <c r="F36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H17" i="28"/>
  <c r="I17" i="28" s="1"/>
  <c r="G17" i="28"/>
  <c r="F17" i="28" s="1"/>
  <c r="G92" i="28" l="1"/>
  <c r="I94" i="28"/>
  <c r="G131" i="28"/>
  <c r="I36" i="28"/>
  <c r="G133" i="28"/>
  <c r="I38" i="28"/>
  <c r="G135" i="28"/>
  <c r="I40" i="28"/>
  <c r="G137" i="28"/>
  <c r="I42" i="28"/>
  <c r="H140" i="28"/>
  <c r="G141" i="28"/>
  <c r="I50" i="28"/>
  <c r="F77" i="28"/>
  <c r="F73" i="28" s="1"/>
  <c r="I77" i="28"/>
  <c r="I92" i="28"/>
  <c r="F100" i="28"/>
  <c r="I100" i="28"/>
  <c r="F102" i="28"/>
  <c r="I102" i="28"/>
  <c r="I133" i="28"/>
  <c r="I135" i="28"/>
  <c r="I137" i="28"/>
  <c r="I141" i="28"/>
  <c r="I143" i="28"/>
  <c r="I144" i="28"/>
  <c r="G132" i="28"/>
  <c r="I37" i="28"/>
  <c r="G134" i="28"/>
  <c r="I39" i="28"/>
  <c r="G136" i="28"/>
  <c r="I41" i="28"/>
  <c r="G138" i="28"/>
  <c r="I43" i="28"/>
  <c r="H139" i="28"/>
  <c r="I139" i="28" s="1"/>
  <c r="H34" i="28"/>
  <c r="I44" i="28"/>
  <c r="F48" i="28"/>
  <c r="F47" i="28" s="1"/>
  <c r="I48" i="28"/>
  <c r="G73" i="28"/>
  <c r="I73" i="28" s="1"/>
  <c r="I88" i="28"/>
  <c r="F91" i="28"/>
  <c r="F88" i="28" s="1"/>
  <c r="I91" i="28"/>
  <c r="G58" i="28"/>
  <c r="I97" i="28"/>
  <c r="F101" i="28"/>
  <c r="I101" i="28"/>
  <c r="I131" i="28"/>
  <c r="I134" i="28"/>
  <c r="I136" i="28"/>
  <c r="I138" i="28"/>
  <c r="I79" i="28"/>
  <c r="H132" i="28"/>
  <c r="I132" i="28" s="1"/>
  <c r="I99" i="28"/>
  <c r="H59" i="28"/>
  <c r="G69" i="28"/>
  <c r="I69" i="28" s="1"/>
  <c r="F37" i="28"/>
  <c r="F38" i="28"/>
  <c r="F39" i="28"/>
  <c r="F40" i="28"/>
  <c r="F41" i="28"/>
  <c r="F42" i="28"/>
  <c r="F43" i="28"/>
  <c r="G47" i="28"/>
  <c r="G140" i="28" s="1"/>
  <c r="G128" i="28" s="1"/>
  <c r="F50" i="28"/>
  <c r="F92" i="28"/>
  <c r="F99" i="28" l="1"/>
  <c r="F58" i="28" s="1"/>
  <c r="I140" i="28"/>
  <c r="G34" i="28"/>
  <c r="I34" i="28" s="1"/>
  <c r="H129" i="28"/>
  <c r="H58" i="28"/>
  <c r="I58" i="28" s="1"/>
  <c r="I47" i="28"/>
  <c r="I59" i="28"/>
  <c r="I129" i="28"/>
  <c r="H128" i="28"/>
  <c r="I128" i="28" s="1"/>
  <c r="F34" i="28"/>
</calcChain>
</file>

<file path=xl/sharedStrings.xml><?xml version="1.0" encoding="utf-8"?>
<sst xmlns="http://schemas.openxmlformats.org/spreadsheetml/2006/main" count="779" uniqueCount="206">
  <si>
    <t xml:space="preserve">                                                                                            Рассмотрено правлением ТСЖ «Радуга»</t>
  </si>
  <si>
    <t xml:space="preserve">                                                                                             Протокол №___ от __________20__г.  </t>
  </si>
  <si>
    <t xml:space="preserve">                                                                                            Утверждено общим собранием ТСЖ «Радуга»</t>
  </si>
  <si>
    <t xml:space="preserve">                                                                                             Протокол ЗОС №___ от __________20__г.</t>
  </si>
  <si>
    <r>
      <rPr>
        <sz val="11"/>
        <color rgb="FF000000"/>
        <rFont val="Times New Roman"/>
        <family val="1"/>
        <charset val="204"/>
      </rPr>
      <t>Общая (полезная площадь, м</t>
    </r>
    <r>
      <rPr>
        <vertAlign val="superscript"/>
        <sz val="11"/>
        <color rgb="FF000000"/>
        <rFont val="Times New Roman"/>
        <family val="1"/>
        <charset val="204"/>
      </rPr>
      <t>2</t>
    </r>
    <r>
      <rPr>
        <sz val="11"/>
        <color rgb="FF000000"/>
        <rFont val="Times New Roman"/>
        <family val="1"/>
        <charset val="204"/>
      </rPr>
      <t>):</t>
    </r>
  </si>
  <si>
    <t>кв.м.</t>
  </si>
  <si>
    <t>Зарегистрировано по адресу</t>
  </si>
  <si>
    <t>человек</t>
  </si>
  <si>
    <t>Всего квартир</t>
  </si>
  <si>
    <t>шт.</t>
  </si>
  <si>
    <t>№ п\п</t>
  </si>
  <si>
    <t>Наименование Статьи</t>
  </si>
  <si>
    <t>Ед. измерения</t>
  </si>
  <si>
    <t>Кол-во</t>
  </si>
  <si>
    <t>Цена</t>
  </si>
  <si>
    <t>Общая стоимость</t>
  </si>
  <si>
    <t>за месяц</t>
  </si>
  <si>
    <t>в год</t>
  </si>
  <si>
    <t>1</t>
  </si>
  <si>
    <t>2</t>
  </si>
  <si>
    <t>3</t>
  </si>
  <si>
    <t>4</t>
  </si>
  <si>
    <t>Резервный фонд (целевые взносы)</t>
  </si>
  <si>
    <t>5</t>
  </si>
  <si>
    <t>Содержание дома и придомовой террит</t>
  </si>
  <si>
    <t>6</t>
  </si>
  <si>
    <t>Резер по горячей воде</t>
  </si>
  <si>
    <t>7</t>
  </si>
  <si>
    <t>Резер по холодной воде</t>
  </si>
  <si>
    <t>8</t>
  </si>
  <si>
    <t>9</t>
  </si>
  <si>
    <t>Товар (эл.ключи, брелки)</t>
  </si>
  <si>
    <t>10</t>
  </si>
  <si>
    <t>Электроэнергия</t>
  </si>
  <si>
    <t>11</t>
  </si>
  <si>
    <t>Электроэнергия МОП</t>
  </si>
  <si>
    <t>12</t>
  </si>
  <si>
    <t>Вывоз ТБО</t>
  </si>
  <si>
    <t>13</t>
  </si>
  <si>
    <t>Охрана 1 пост</t>
  </si>
  <si>
    <t>14</t>
  </si>
  <si>
    <t>Обслуживание лифтов (225 кв)</t>
  </si>
  <si>
    <t>15</t>
  </si>
  <si>
    <t>Обслуживание домофона, ОПС, СВН</t>
  </si>
  <si>
    <t>Доход</t>
  </si>
  <si>
    <t>Содержание дома и придомовой территории</t>
  </si>
  <si>
    <t>кв.м</t>
  </si>
  <si>
    <t>квт.ч</t>
  </si>
  <si>
    <t>Холодное водоснабжение</t>
  </si>
  <si>
    <t>Холодное водоснабжение, стоки</t>
  </si>
  <si>
    <t>т. м3</t>
  </si>
  <si>
    <t>Горячее водоснабжение, стоки</t>
  </si>
  <si>
    <t>Горячее водоснабжение</t>
  </si>
  <si>
    <t>Отопление</t>
  </si>
  <si>
    <t>т.Г.кал.</t>
  </si>
  <si>
    <t>Комиссия банка за прием платежей у населения</t>
  </si>
  <si>
    <t>%, руб.</t>
  </si>
  <si>
    <t>16</t>
  </si>
  <si>
    <t>Проксими-карта</t>
  </si>
  <si>
    <t>17</t>
  </si>
  <si>
    <t>18</t>
  </si>
  <si>
    <t>Электронный ключ</t>
  </si>
  <si>
    <t>Предоставление права использования конструктивных элементов МКБ новотелеком</t>
  </si>
  <si>
    <t>руб</t>
  </si>
  <si>
    <t>Расход</t>
  </si>
  <si>
    <t>руб.</t>
  </si>
  <si>
    <t>1.1</t>
  </si>
  <si>
    <t>1.2</t>
  </si>
  <si>
    <t>Хозяйственные расходы</t>
  </si>
  <si>
    <t>Канц.товары, заправка картриджа, бумага</t>
  </si>
  <si>
    <t>Моющие средства</t>
  </si>
  <si>
    <t>Швабры, тряпки, губки, щетки</t>
  </si>
  <si>
    <t>Дератизация, дезинфекция, дезинсекция, антиклещ</t>
  </si>
  <si>
    <t>Спец. одежда</t>
  </si>
  <si>
    <t>1.3</t>
  </si>
  <si>
    <t>Оплата связи</t>
  </si>
  <si>
    <t>Стационарная телефонная связь</t>
  </si>
  <si>
    <t>руб/мес</t>
  </si>
  <si>
    <t>Сотовая связь</t>
  </si>
  <si>
    <t>1.4</t>
  </si>
  <si>
    <t>Расчетно-кассовое обслуживание</t>
  </si>
  <si>
    <t>1.5</t>
  </si>
  <si>
    <t>Благоустройство и озеленение</t>
  </si>
  <si>
    <t>Рассада, газонная трава</t>
  </si>
  <si>
    <t>Удобрения</t>
  </si>
  <si>
    <t>Песок, доставка песка</t>
  </si>
  <si>
    <t>1.6</t>
  </si>
  <si>
    <t>Текущий ремонт</t>
  </si>
  <si>
    <t>Кран шаровый, обвязочная арматура</t>
  </si>
  <si>
    <t>Монтаж крана шарового (подрядный договор) сварка</t>
  </si>
  <si>
    <t>Материалы прочие</t>
  </si>
  <si>
    <t>Инструмент</t>
  </si>
  <si>
    <t>1.7</t>
  </si>
  <si>
    <t>Уборка снега</t>
  </si>
  <si>
    <t>1.7.1</t>
  </si>
  <si>
    <t>Мероприятия по уборке снега</t>
  </si>
  <si>
    <t>1.7.2</t>
  </si>
  <si>
    <t>Посыпка для тротуарной плитки (песок)</t>
  </si>
  <si>
    <t>1.8</t>
  </si>
  <si>
    <t>Итого расходы на зарплату</t>
  </si>
  <si>
    <t>1.8.1</t>
  </si>
  <si>
    <t>Заработная плата с НДФЛ по штатному расписанию</t>
  </si>
  <si>
    <t>1.8.2</t>
  </si>
  <si>
    <t>1.8.3</t>
  </si>
  <si>
    <t>1.8.4</t>
  </si>
  <si>
    <t>Фонд поощрения</t>
  </si>
  <si>
    <t>Обсуживание оборудования ИТП (программирование системы)</t>
  </si>
  <si>
    <t>Капитальный ремонт (депозит)</t>
  </si>
  <si>
    <t xml:space="preserve">Оплата работы правления </t>
  </si>
  <si>
    <t>Оплата работы счетной комиссии</t>
  </si>
  <si>
    <t>Тех.освидетельствование лифтов</t>
  </si>
  <si>
    <t>Обслуживание программы электронной отчетности</t>
  </si>
  <si>
    <t xml:space="preserve">Оплата ревизионной комиссии </t>
  </si>
  <si>
    <t>чел</t>
  </si>
  <si>
    <t>Услуги по обслуживанию вычислит.техники и ПО</t>
  </si>
  <si>
    <t>мес</t>
  </si>
  <si>
    <t>Расходы на юридические услуги</t>
  </si>
  <si>
    <t>Непредвиденные расходы</t>
  </si>
  <si>
    <t>%</t>
  </si>
  <si>
    <t>Коммунальные услуги</t>
  </si>
  <si>
    <t>прием стоков</t>
  </si>
  <si>
    <t xml:space="preserve">Капитальный ремонт (1.01.2014-31.01.2014) </t>
  </si>
  <si>
    <t>Резерв по отоплению</t>
  </si>
  <si>
    <t>Вступительные взносы/целевой взнос с автовладельцев</t>
  </si>
  <si>
    <t xml:space="preserve">% по депозиту на капитальный ремонт (1.01.2014-31.01.2014) </t>
  </si>
  <si>
    <t>Резервы накопительных фондов (+) / Перерасход (-) на 01.01.19</t>
  </si>
  <si>
    <t xml:space="preserve">Смета доходов и расходов </t>
  </si>
  <si>
    <t>Резервы накопительных фондов на 01.01.2019 г.</t>
  </si>
  <si>
    <t>5c</t>
  </si>
  <si>
    <t>Налоги 30,2%</t>
  </si>
  <si>
    <t>Резерв отпуска</t>
  </si>
  <si>
    <t>Дверные доводчики, электро-ключи, домофон</t>
  </si>
  <si>
    <t xml:space="preserve">Электротовары </t>
  </si>
  <si>
    <t>Капитальный ремонт (1.08.2014-31.12.2018)</t>
  </si>
  <si>
    <t>Товар (эл.ключи, карты доступа)</t>
  </si>
  <si>
    <t>% по депозиту на капитальный ремонт (1.08.2014-31.12.2019)</t>
  </si>
  <si>
    <t>Хозяйственные расходы прочие</t>
  </si>
  <si>
    <t>Капитальный ремонт (1.08.2014-31.12.2019)</t>
  </si>
  <si>
    <t>Страховой полис лифтов</t>
  </si>
  <si>
    <t>Обучение по лифтам и теплоустановкам, охране труда обязательное, ежегодное)</t>
  </si>
  <si>
    <t>ТСЖ "Радуга"  на  2020 год</t>
  </si>
  <si>
    <t>Капитальный ремонт (1.01.2020-31.12.2020)</t>
  </si>
  <si>
    <t>1 500/        1 000</t>
  </si>
  <si>
    <t>Налоги при УСН за 2020 год</t>
  </si>
  <si>
    <t xml:space="preserve">Бензин на служебные разьезды </t>
  </si>
  <si>
    <t>Бензин для тримера</t>
  </si>
  <si>
    <t>литры</t>
  </si>
  <si>
    <t xml:space="preserve">Ремонт тримера </t>
  </si>
  <si>
    <t xml:space="preserve">Ремонт колотой плитки по всему дому </t>
  </si>
  <si>
    <t>1.7.3</t>
  </si>
  <si>
    <t>Бензин для снегоуборочной машины и масло для снегоуборочной машины</t>
  </si>
  <si>
    <t>Покрытие детской площадки</t>
  </si>
  <si>
    <t>Изготовить информационные таблички и схемы                           (технический этаж)</t>
  </si>
  <si>
    <t>Поверка общедомовых приборов учета ГВС и ХВС</t>
  </si>
  <si>
    <t>Модерирование сайта и хостинг сайта</t>
  </si>
  <si>
    <t>Обновление программы 1 С</t>
  </si>
  <si>
    <t>исполнение сметы</t>
  </si>
  <si>
    <t>разница</t>
  </si>
  <si>
    <t>ТСЖ "Радуга"  на  2021 год</t>
  </si>
  <si>
    <t>Резервы накопительных фондов на 01.01.2021 г.</t>
  </si>
  <si>
    <t>Капитальный ремонт (1.08.2014-31.12.2020)</t>
  </si>
  <si>
    <t>Капитальный ремонт (1.01.2021-31.12.2021)</t>
  </si>
  <si>
    <t>% по депозиту на капитальный ремонт (1.08.2014-31.12.2021)</t>
  </si>
  <si>
    <t xml:space="preserve">Предоставление права использования конструктивных элементов </t>
  </si>
  <si>
    <t>Резервы накопительных фондов (+) / Перерасход (-) на 01.01.22</t>
  </si>
  <si>
    <t>Капитальный ремонт (1.08.2014-31.12.2021)</t>
  </si>
  <si>
    <t>Тарифы за содержание жилого дома и коммунальные услуги</t>
  </si>
  <si>
    <t>ТСЖ "Радуга" с 01.01.2021 г.</t>
  </si>
  <si>
    <r>
      <t>Общая (полезная площадь, м</t>
    </r>
    <r>
      <rPr>
        <vertAlign val="superscript"/>
        <sz val="11"/>
        <color rgb="FF000000"/>
        <rFont val="Times New Roman"/>
        <family val="1"/>
        <charset val="204"/>
      </rPr>
      <t>2</t>
    </r>
    <r>
      <rPr>
        <sz val="11"/>
        <color rgb="FF000000"/>
        <rFont val="Times New Roman"/>
        <family val="1"/>
        <charset val="204"/>
      </rPr>
      <t>):</t>
    </r>
  </si>
  <si>
    <t>Тариф 2021</t>
  </si>
  <si>
    <t>руб/кв.м.</t>
  </si>
  <si>
    <t>Содержание жилого дома</t>
  </si>
  <si>
    <t>Заработная плата с НДФЛ</t>
  </si>
  <si>
    <t>Резерв отпуска 9%</t>
  </si>
  <si>
    <t>Вывоз ТБО (542 чел).</t>
  </si>
  <si>
    <t>Комиссия банка за прием платежей у населения, %</t>
  </si>
  <si>
    <t>Ресурс</t>
  </si>
  <si>
    <t>ед.изм.</t>
  </si>
  <si>
    <t>Электроэнергия, за 1кВт</t>
  </si>
  <si>
    <t>Холодное водоснабжение, за 1 м3</t>
  </si>
  <si>
    <t>Горячее водоснабжение, за 1 м3</t>
  </si>
  <si>
    <t>Отопление, за 1 м2</t>
  </si>
  <si>
    <t>Капитальный ремонт</t>
  </si>
  <si>
    <t>м2</t>
  </si>
  <si>
    <t>№</t>
  </si>
  <si>
    <t>Должность</t>
  </si>
  <si>
    <t>район. коэф.</t>
  </si>
  <si>
    <t>всего</t>
  </si>
  <si>
    <t>НДФЛ</t>
  </si>
  <si>
    <t>Налоги ФОТ</t>
  </si>
  <si>
    <t>К выдаче</t>
  </si>
  <si>
    <t>Председатель</t>
  </si>
  <si>
    <t>Техник-смотритель</t>
  </si>
  <si>
    <t>Главный бухгалтер</t>
  </si>
  <si>
    <t>Паспортист</t>
  </si>
  <si>
    <t>Сантехник</t>
  </si>
  <si>
    <t>Электрик</t>
  </si>
  <si>
    <t>Уборщица</t>
  </si>
  <si>
    <t>Дворник</t>
  </si>
  <si>
    <t>ИТОГО</t>
  </si>
  <si>
    <t>Штатное расписание по ТСЖ "Радуга" на период с 1.07.21 по 30.10.21</t>
  </si>
  <si>
    <t>Штатное расписание по ТСЖ "Радуга" на период с 1.11.21 по 31.12.21</t>
  </si>
  <si>
    <t>Штатное расписание по ТСЖ "Радуга" на период с 01.01.21 по 28.02.21</t>
  </si>
  <si>
    <t>Штатное расписание по ТСЖ "Радуга" на период с 01.03.21 по 30.06.21</t>
  </si>
  <si>
    <t>Налоги при УСН за 2021 год</t>
  </si>
  <si>
    <t>Оплата жильцам работающим с клумбами/5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</si>
</sst>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#"/>
    <numFmt numFmtId="166" formatCode="#,##0.000"/>
    <numFmt numFmtId="167" formatCode="0.0"/>
    <numFmt numFmtId="168" formatCode="#,##0.0"/>
  </numFmts>
  <fonts count="12" x14ac:knownFonts="1"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0" fontId="1" fillId="0" borderId="0" xfId="1" applyFont="1"/>
    <xf numFmtId="3" fontId="0" fillId="0" borderId="0" xfId="0" applyNumberFormat="1"/>
    <xf numFmtId="0" fontId="2" fillId="0" borderId="0" xfId="1" applyFont="1" applyAlignment="1"/>
    <xf numFmtId="0" fontId="3" fillId="0" borderId="0" xfId="1" applyFont="1" applyAlignment="1"/>
    <xf numFmtId="0" fontId="2" fillId="0" borderId="0" xfId="1" applyFont="1" applyAlignment="1">
      <alignment horizontal="right"/>
    </xf>
    <xf numFmtId="0" fontId="3" fillId="0" borderId="0" xfId="1" applyFont="1" applyBorder="1"/>
    <xf numFmtId="0" fontId="3" fillId="0" borderId="0" xfId="1" applyFont="1"/>
    <xf numFmtId="0" fontId="3" fillId="2" borderId="1" xfId="1" applyFont="1" applyFill="1" applyBorder="1" applyAlignment="1">
      <alignment horizontal="left" vertical="top" wrapText="1"/>
    </xf>
    <xf numFmtId="0" fontId="2" fillId="2" borderId="1" xfId="1" applyFont="1" applyFill="1" applyBorder="1"/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/>
    <xf numFmtId="49" fontId="3" fillId="2" borderId="1" xfId="1" applyNumberFormat="1" applyFont="1" applyFill="1" applyBorder="1" applyAlignment="1">
      <alignment horizontal="right" vertical="center" wrapText="1"/>
    </xf>
    <xf numFmtId="3" fontId="3" fillId="2" borderId="1" xfId="1" applyNumberFormat="1" applyFont="1" applyFill="1" applyBorder="1"/>
    <xf numFmtId="164" fontId="2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right" vertical="center"/>
    </xf>
    <xf numFmtId="3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3" fontId="0" fillId="3" borderId="1" xfId="0" applyNumberFormat="1" applyFill="1" applyBorder="1" applyAlignment="1">
      <alignment horizontal="center" vertical="center" wrapText="1"/>
    </xf>
    <xf numFmtId="4" fontId="2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center"/>
    </xf>
    <xf numFmtId="4" fontId="3" fillId="0" borderId="0" xfId="1" applyNumberFormat="1" applyFont="1" applyBorder="1" applyAlignment="1">
      <alignment horizontal="center"/>
    </xf>
    <xf numFmtId="4" fontId="3" fillId="0" borderId="0" xfId="1" applyNumberFormat="1" applyFont="1" applyAlignment="1">
      <alignment horizontal="center"/>
    </xf>
    <xf numFmtId="3" fontId="3" fillId="4" borderId="1" xfId="1" applyNumberFormat="1" applyFont="1" applyFill="1" applyBorder="1" applyAlignment="1">
      <alignment horizontal="center" vertical="center"/>
    </xf>
    <xf numFmtId="4" fontId="3" fillId="4" borderId="1" xfId="1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3" fontId="2" fillId="4" borderId="1" xfId="1" applyNumberFormat="1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49" fontId="2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top" wrapText="1"/>
    </xf>
    <xf numFmtId="4" fontId="3" fillId="4" borderId="1" xfId="1" applyNumberFormat="1" applyFont="1" applyFill="1" applyBorder="1" applyAlignment="1">
      <alignment horizontal="center" vertical="center"/>
    </xf>
    <xf numFmtId="0" fontId="0" fillId="3" borderId="0" xfId="0" applyFill="1"/>
    <xf numFmtId="3" fontId="1" fillId="4" borderId="1" xfId="1" applyNumberFormat="1" applyFont="1" applyFill="1" applyBorder="1" applyAlignment="1">
      <alignment horizontal="center" vertical="center" wrapText="1"/>
    </xf>
    <xf numFmtId="3" fontId="2" fillId="4" borderId="1" xfId="1" applyNumberFormat="1" applyFont="1" applyFill="1" applyBorder="1" applyAlignment="1">
      <alignment horizontal="center"/>
    </xf>
    <xf numFmtId="3" fontId="6" fillId="4" borderId="1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/>
    </xf>
    <xf numFmtId="3" fontId="7" fillId="4" borderId="1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4" fontId="2" fillId="3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166" fontId="3" fillId="4" borderId="1" xfId="1" applyNumberFormat="1" applyFont="1" applyFill="1" applyBorder="1" applyAlignment="1">
      <alignment horizontal="center" vertical="center" wrapText="1"/>
    </xf>
    <xf numFmtId="167" fontId="3" fillId="4" borderId="1" xfId="2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/>
    </xf>
    <xf numFmtId="49" fontId="3" fillId="4" borderId="1" xfId="1" applyNumberFormat="1" applyFont="1" applyFill="1" applyBorder="1" applyAlignment="1">
      <alignment horizontal="center" vertical="center" wrapText="1"/>
    </xf>
    <xf numFmtId="168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right" vertical="center" wrapText="1"/>
    </xf>
    <xf numFmtId="164" fontId="2" fillId="4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left" vertical="center" wrapText="1"/>
    </xf>
    <xf numFmtId="165" fontId="0" fillId="4" borderId="1" xfId="0" applyNumberFormat="1" applyFont="1" applyFill="1" applyBorder="1" applyAlignment="1">
      <alignment horizontal="center" vertical="center" wrapText="1"/>
    </xf>
    <xf numFmtId="49" fontId="1" fillId="4" borderId="1" xfId="1" applyNumberFormat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vertical="center" wrapText="1"/>
    </xf>
    <xf numFmtId="4" fontId="1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top" wrapText="1"/>
    </xf>
    <xf numFmtId="0" fontId="3" fillId="4" borderId="1" xfId="1" applyFont="1" applyFill="1" applyBorder="1" applyAlignment="1">
      <alignment vertical="top" wrapText="1"/>
    </xf>
    <xf numFmtId="4" fontId="3" fillId="4" borderId="1" xfId="1" applyNumberFormat="1" applyFont="1" applyFill="1" applyBorder="1" applyAlignment="1"/>
    <xf numFmtId="3" fontId="3" fillId="4" borderId="1" xfId="1" applyNumberFormat="1" applyFont="1" applyFill="1" applyBorder="1" applyAlignment="1">
      <alignment horizontal="right"/>
    </xf>
    <xf numFmtId="3" fontId="3" fillId="4" borderId="1" xfId="1" applyNumberFormat="1" applyFont="1" applyFill="1" applyBorder="1" applyAlignment="1">
      <alignment wrapText="1"/>
    </xf>
    <xf numFmtId="49" fontId="1" fillId="4" borderId="1" xfId="1" applyNumberFormat="1" applyFont="1" applyFill="1" applyBorder="1"/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3" fontId="6" fillId="3" borderId="1" xfId="0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4" borderId="1" xfId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Alignment="1"/>
    <xf numFmtId="0" fontId="1" fillId="2" borderId="0" xfId="1" applyFont="1" applyFill="1"/>
    <xf numFmtId="0" fontId="1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3" fillId="2" borderId="0" xfId="1" applyFont="1" applyFill="1" applyAlignment="1"/>
    <xf numFmtId="0" fontId="3" fillId="2" borderId="0" xfId="1" applyFont="1" applyFill="1" applyBorder="1"/>
    <xf numFmtId="4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3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/>
    <xf numFmtId="3" fontId="3" fillId="2" borderId="0" xfId="1" applyNumberFormat="1" applyFont="1" applyFill="1" applyAlignment="1">
      <alignment horizontal="center"/>
    </xf>
    <xf numFmtId="49" fontId="3" fillId="2" borderId="0" xfId="1" applyNumberFormat="1" applyFont="1" applyFill="1"/>
    <xf numFmtId="0" fontId="3" fillId="2" borderId="0" xfId="1" applyFont="1" applyFill="1" applyAlignment="1">
      <alignment horizontal="right"/>
    </xf>
    <xf numFmtId="4" fontId="3" fillId="2" borderId="0" xfId="1" applyNumberFormat="1" applyFont="1" applyFill="1"/>
    <xf numFmtId="0" fontId="10" fillId="2" borderId="0" xfId="1" applyFont="1" applyFill="1"/>
    <xf numFmtId="3" fontId="3" fillId="2" borderId="1" xfId="1" applyNumberFormat="1" applyFont="1" applyFill="1" applyBorder="1" applyAlignment="1">
      <alignment horizontal="righ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49" fontId="2" fillId="2" borderId="1" xfId="1" applyNumberFormat="1" applyFont="1" applyFill="1" applyBorder="1" applyAlignment="1">
      <alignment horizontal="right" vertical="center" wrapText="1"/>
    </xf>
    <xf numFmtId="3" fontId="2" fillId="2" borderId="1" xfId="1" applyNumberFormat="1" applyFont="1" applyFill="1" applyBorder="1" applyAlignment="1">
      <alignment horizontal="right" vertical="center"/>
    </xf>
    <xf numFmtId="4" fontId="1" fillId="2" borderId="0" xfId="1" applyNumberFormat="1" applyFont="1" applyFill="1"/>
    <xf numFmtId="4" fontId="3" fillId="2" borderId="1" xfId="1" applyNumberFormat="1" applyFont="1" applyFill="1" applyBorder="1"/>
    <xf numFmtId="2" fontId="10" fillId="2" borderId="0" xfId="1" applyNumberFormat="1" applyFont="1" applyFill="1"/>
    <xf numFmtId="0" fontId="3" fillId="2" borderId="1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right"/>
    </xf>
    <xf numFmtId="2" fontId="11" fillId="2" borderId="1" xfId="1" applyNumberFormat="1" applyFont="1" applyFill="1" applyBorder="1" applyAlignment="1">
      <alignment horizontal="left" vertical="center" wrapText="1"/>
    </xf>
    <xf numFmtId="49" fontId="2" fillId="2" borderId="0" xfId="1" applyNumberFormat="1" applyFont="1" applyFill="1" applyBorder="1" applyAlignment="1">
      <alignment horizontal="right" vertical="center" wrapText="1"/>
    </xf>
    <xf numFmtId="2" fontId="11" fillId="2" borderId="0" xfId="1" applyNumberFormat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1" applyNumberFormat="1" applyFont="1" applyFill="1" applyBorder="1" applyAlignment="1">
      <alignment horizontal="right"/>
    </xf>
    <xf numFmtId="4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right" vertical="center" wrapText="1"/>
    </xf>
    <xf numFmtId="0" fontId="2" fillId="2" borderId="0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right" vertical="center" wrapText="1"/>
    </xf>
    <xf numFmtId="4" fontId="3" fillId="2" borderId="0" xfId="1" applyNumberFormat="1" applyFont="1" applyFill="1" applyBorder="1" applyAlignment="1">
      <alignment horizontal="right" vertical="center"/>
    </xf>
    <xf numFmtId="4" fontId="3" fillId="2" borderId="0" xfId="1" applyNumberFormat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167" fontId="3" fillId="2" borderId="0" xfId="1" applyNumberFormat="1" applyFont="1" applyFill="1" applyBorder="1" applyAlignment="1">
      <alignment horizontal="right" vertical="center" wrapText="1"/>
    </xf>
    <xf numFmtId="0" fontId="0" fillId="2" borderId="0" xfId="0" applyFill="1"/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49" fontId="1" fillId="2" borderId="0" xfId="1" applyNumberFormat="1" applyFont="1" applyFill="1"/>
    <xf numFmtId="49" fontId="2" fillId="4" borderId="1" xfId="1" applyNumberFormat="1" applyFont="1" applyFill="1" applyBorder="1" applyAlignment="1">
      <alignment horizontal="center" vertical="center" wrapText="1"/>
    </xf>
    <xf numFmtId="4" fontId="1" fillId="4" borderId="1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 vertical="top" wrapText="1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top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left"/>
    </xf>
    <xf numFmtId="49" fontId="2" fillId="2" borderId="0" xfId="1" applyNumberFormat="1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ояснение" xfId="1" builtinId="53" customBuiltin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4;&#1077;&#1090;&#1072;-&#1080;-&#1090;&#1072;&#1088;&#1080;&#1092;&#1099;%202021%20&#1056;&#1086;&#1084;&#1072;&#1085;%20ver.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мета 2021"/>
      <sheetName val="Тарифы 2021"/>
      <sheetName val="Анализ затрат"/>
    </sheetNames>
    <sheetDataSet>
      <sheetData sheetId="0">
        <row r="40">
          <cell r="G40">
            <v>244320</v>
          </cell>
        </row>
        <row r="60">
          <cell r="G60">
            <v>115633</v>
          </cell>
        </row>
        <row r="69">
          <cell r="G69">
            <v>13867.2</v>
          </cell>
        </row>
        <row r="72">
          <cell r="G72">
            <v>27060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opLeftCell="A19" zoomScaleNormal="100" workbookViewId="0">
      <selection activeCell="J22" sqref="J22"/>
    </sheetView>
  </sheetViews>
  <sheetFormatPr defaultRowHeight="15" x14ac:dyDescent="0.25"/>
  <cols>
    <col min="1" max="1" width="7.140625" style="1" customWidth="1"/>
    <col min="2" max="2" width="34.5703125" style="2" customWidth="1"/>
    <col min="3" max="3" width="11.42578125" style="2" customWidth="1"/>
    <col min="4" max="4" width="10.140625" style="2" customWidth="1"/>
    <col min="5" max="5" width="8.7109375" style="28" customWidth="1"/>
    <col min="6" max="6" width="12" style="25" customWidth="1"/>
    <col min="7" max="7" width="15.7109375" style="25" customWidth="1"/>
    <col min="8" max="8" width="17" style="22" customWidth="1"/>
    <col min="9" max="9" width="15.85546875" style="22" customWidth="1"/>
    <col min="10" max="1018" width="9" customWidth="1"/>
  </cols>
  <sheetData>
    <row r="1" spans="1:9" ht="14.25" x14ac:dyDescent="0.2">
      <c r="A1" s="51" t="s">
        <v>0</v>
      </c>
      <c r="B1" s="51"/>
      <c r="C1" s="51"/>
      <c r="D1" s="51"/>
      <c r="E1" s="52"/>
      <c r="F1" s="52"/>
      <c r="G1" s="52"/>
      <c r="H1"/>
      <c r="I1"/>
    </row>
    <row r="2" spans="1:9" ht="14.25" x14ac:dyDescent="0.2">
      <c r="A2" s="143" t="s">
        <v>1</v>
      </c>
      <c r="B2" s="143"/>
      <c r="C2" s="143"/>
      <c r="D2" s="143"/>
      <c r="E2" s="143"/>
      <c r="F2" s="143"/>
      <c r="G2" s="143"/>
      <c r="H2"/>
      <c r="I2"/>
    </row>
    <row r="3" spans="1:9" x14ac:dyDescent="0.25">
      <c r="A3" s="4"/>
      <c r="B3" s="4"/>
      <c r="C3" s="5"/>
      <c r="D3" s="6"/>
      <c r="E3" s="27"/>
      <c r="G3" s="23"/>
      <c r="H3"/>
      <c r="I3"/>
    </row>
    <row r="4" spans="1:9" ht="14.25" x14ac:dyDescent="0.2">
      <c r="A4" s="143" t="s">
        <v>2</v>
      </c>
      <c r="B4" s="143"/>
      <c r="C4" s="143"/>
      <c r="D4" s="143"/>
      <c r="E4" s="143"/>
      <c r="F4" s="143"/>
      <c r="G4" s="143"/>
      <c r="H4"/>
      <c r="I4"/>
    </row>
    <row r="5" spans="1:9" ht="14.25" x14ac:dyDescent="0.2">
      <c r="A5" s="143" t="s">
        <v>3</v>
      </c>
      <c r="B5" s="143"/>
      <c r="C5" s="143"/>
      <c r="D5" s="143"/>
      <c r="E5" s="143"/>
      <c r="F5" s="143"/>
      <c r="G5" s="143"/>
      <c r="H5"/>
      <c r="I5"/>
    </row>
    <row r="6" spans="1:9" x14ac:dyDescent="0.25">
      <c r="A6" s="4"/>
      <c r="G6" s="23"/>
      <c r="H6"/>
      <c r="I6"/>
    </row>
    <row r="7" spans="1:9" ht="14.25" x14ac:dyDescent="0.2">
      <c r="A7" s="144" t="s">
        <v>126</v>
      </c>
      <c r="B7" s="144"/>
      <c r="C7" s="144"/>
      <c r="D7" s="144"/>
      <c r="E7" s="144"/>
      <c r="F7" s="144"/>
      <c r="G7" s="144"/>
      <c r="H7"/>
      <c r="I7"/>
    </row>
    <row r="8" spans="1:9" ht="14.25" x14ac:dyDescent="0.2">
      <c r="A8" s="144" t="s">
        <v>140</v>
      </c>
      <c r="B8" s="144"/>
      <c r="C8" s="144"/>
      <c r="D8" s="144"/>
      <c r="E8" s="144"/>
      <c r="F8" s="144"/>
      <c r="G8" s="144"/>
      <c r="H8"/>
      <c r="I8"/>
    </row>
    <row r="9" spans="1:9" x14ac:dyDescent="0.25">
      <c r="A9" s="4"/>
      <c r="B9" s="6"/>
      <c r="G9" s="23"/>
      <c r="H9"/>
      <c r="I9"/>
    </row>
    <row r="10" spans="1:9" ht="18" customHeight="1" x14ac:dyDescent="0.25">
      <c r="A10" s="142" t="s">
        <v>4</v>
      </c>
      <c r="B10" s="142"/>
      <c r="C10" s="7"/>
      <c r="D10" s="7"/>
      <c r="E10" s="29"/>
      <c r="F10" s="34">
        <v>12836.4</v>
      </c>
      <c r="G10" s="24" t="s">
        <v>5</v>
      </c>
      <c r="H10"/>
      <c r="I10"/>
    </row>
    <row r="11" spans="1:9" ht="12.75" customHeight="1" x14ac:dyDescent="0.25">
      <c r="A11" s="142" t="s">
        <v>6</v>
      </c>
      <c r="B11" s="142"/>
      <c r="C11" s="7"/>
      <c r="D11" s="7"/>
      <c r="E11" s="29"/>
      <c r="F11" s="35">
        <v>269</v>
      </c>
      <c r="G11" s="24" t="s">
        <v>7</v>
      </c>
      <c r="H11"/>
      <c r="I11"/>
    </row>
    <row r="12" spans="1:9" ht="12.75" customHeight="1" x14ac:dyDescent="0.25">
      <c r="A12" s="142" t="s">
        <v>8</v>
      </c>
      <c r="B12" s="142"/>
      <c r="C12" s="8"/>
      <c r="D12" s="8"/>
      <c r="E12" s="30"/>
      <c r="F12" s="24">
        <v>249</v>
      </c>
      <c r="G12" s="24" t="s">
        <v>9</v>
      </c>
      <c r="H12"/>
      <c r="I12"/>
    </row>
    <row r="13" spans="1:9" ht="12.75" customHeight="1" x14ac:dyDescent="0.2">
      <c r="A13" s="145" t="s">
        <v>10</v>
      </c>
      <c r="B13" s="146" t="s">
        <v>11</v>
      </c>
      <c r="C13" s="147" t="s">
        <v>12</v>
      </c>
      <c r="D13" s="147" t="s">
        <v>13</v>
      </c>
      <c r="E13" s="150" t="s">
        <v>14</v>
      </c>
      <c r="F13" s="147" t="s">
        <v>15</v>
      </c>
      <c r="G13" s="147"/>
      <c r="H13" s="151" t="s">
        <v>156</v>
      </c>
      <c r="I13" s="151" t="s">
        <v>157</v>
      </c>
    </row>
    <row r="14" spans="1:9" ht="12.75" customHeight="1" x14ac:dyDescent="0.2">
      <c r="A14" s="145"/>
      <c r="B14" s="146"/>
      <c r="C14" s="147"/>
      <c r="D14" s="147"/>
      <c r="E14" s="150"/>
      <c r="F14" s="147"/>
      <c r="G14" s="147"/>
      <c r="H14" s="152"/>
      <c r="I14" s="152"/>
    </row>
    <row r="15" spans="1:9" ht="12.75" customHeight="1" x14ac:dyDescent="0.2">
      <c r="A15" s="145"/>
      <c r="B15" s="146"/>
      <c r="C15" s="147"/>
      <c r="D15" s="147"/>
      <c r="E15" s="150"/>
      <c r="F15" s="147" t="s">
        <v>16</v>
      </c>
      <c r="G15" s="147" t="s">
        <v>17</v>
      </c>
      <c r="H15" s="81"/>
      <c r="I15" s="81"/>
    </row>
    <row r="16" spans="1:9" ht="12.75" customHeight="1" x14ac:dyDescent="0.2">
      <c r="A16" s="145"/>
      <c r="B16" s="146"/>
      <c r="C16" s="147"/>
      <c r="D16" s="147"/>
      <c r="E16" s="150"/>
      <c r="F16" s="147"/>
      <c r="G16" s="147"/>
      <c r="H16" s="81"/>
      <c r="I16" s="81"/>
    </row>
    <row r="17" spans="1:9" ht="12.75" customHeight="1" x14ac:dyDescent="0.2">
      <c r="A17" s="42"/>
      <c r="B17" s="148" t="s">
        <v>127</v>
      </c>
      <c r="C17" s="148"/>
      <c r="D17" s="148"/>
      <c r="E17" s="53"/>
      <c r="F17" s="38">
        <f t="shared" ref="F17:F32" si="0">G17/12</f>
        <v>485017.81818045146</v>
      </c>
      <c r="G17" s="40">
        <f>SUM(G18:G33)</f>
        <v>5820213.8181654178</v>
      </c>
      <c r="H17" s="40">
        <f>SUM(H18:H33)</f>
        <v>5820213.8181654178</v>
      </c>
      <c r="I17" s="38">
        <f>H17-G17</f>
        <v>0</v>
      </c>
    </row>
    <row r="18" spans="1:9" ht="15" customHeight="1" x14ac:dyDescent="0.2">
      <c r="A18" s="42" t="s">
        <v>18</v>
      </c>
      <c r="B18" s="43" t="s">
        <v>24</v>
      </c>
      <c r="C18" s="54"/>
      <c r="D18" s="54"/>
      <c r="E18" s="55"/>
      <c r="F18" s="38">
        <f t="shared" si="0"/>
        <v>-11950.019319548583</v>
      </c>
      <c r="G18" s="38">
        <v>-143400.23183458298</v>
      </c>
      <c r="H18" s="38">
        <v>-143400.23183458298</v>
      </c>
      <c r="I18" s="38">
        <f t="shared" ref="I18:I33" si="1">H18-G18</f>
        <v>0</v>
      </c>
    </row>
    <row r="19" spans="1:9" ht="30" x14ac:dyDescent="0.2">
      <c r="A19" s="42" t="s">
        <v>19</v>
      </c>
      <c r="B19" s="43" t="s">
        <v>121</v>
      </c>
      <c r="C19" s="54"/>
      <c r="D19" s="54"/>
      <c r="E19" s="55"/>
      <c r="F19" s="38">
        <f t="shared" si="0"/>
        <v>11780.25</v>
      </c>
      <c r="G19" s="38">
        <v>141363</v>
      </c>
      <c r="H19" s="38">
        <v>141363</v>
      </c>
      <c r="I19" s="38">
        <f t="shared" si="1"/>
        <v>0</v>
      </c>
    </row>
    <row r="20" spans="1:9" ht="19.5" customHeight="1" x14ac:dyDescent="0.2">
      <c r="A20" s="42"/>
      <c r="B20" s="43" t="s">
        <v>133</v>
      </c>
      <c r="C20" s="54"/>
      <c r="D20" s="54"/>
      <c r="E20" s="55"/>
      <c r="F20" s="38">
        <f t="shared" si="0"/>
        <v>415824.66333333333</v>
      </c>
      <c r="G20" s="38">
        <v>4989895.96</v>
      </c>
      <c r="H20" s="38">
        <v>4989895.96</v>
      </c>
      <c r="I20" s="38">
        <f t="shared" si="1"/>
        <v>0</v>
      </c>
    </row>
    <row r="21" spans="1:9" x14ac:dyDescent="0.2">
      <c r="A21" s="42" t="s">
        <v>20</v>
      </c>
      <c r="B21" s="43" t="s">
        <v>22</v>
      </c>
      <c r="C21" s="54"/>
      <c r="D21" s="54"/>
      <c r="E21" s="55"/>
      <c r="F21" s="38">
        <f t="shared" si="0"/>
        <v>35422.543333333335</v>
      </c>
      <c r="G21" s="38">
        <v>425070.52</v>
      </c>
      <c r="H21" s="38">
        <v>425070.52</v>
      </c>
      <c r="I21" s="38">
        <f t="shared" si="1"/>
        <v>0</v>
      </c>
    </row>
    <row r="22" spans="1:9" x14ac:dyDescent="0.25">
      <c r="A22" s="42" t="s">
        <v>21</v>
      </c>
      <c r="B22" s="56" t="s">
        <v>37</v>
      </c>
      <c r="C22" s="54"/>
      <c r="D22" s="54"/>
      <c r="E22" s="55"/>
      <c r="F22" s="38">
        <f t="shared" si="0"/>
        <v>-1282.5358333333327</v>
      </c>
      <c r="G22" s="38">
        <v>-15390.429999999993</v>
      </c>
      <c r="H22" s="38">
        <v>-15390.429999999993</v>
      </c>
      <c r="I22" s="38">
        <f t="shared" si="1"/>
        <v>0</v>
      </c>
    </row>
    <row r="23" spans="1:9" x14ac:dyDescent="0.25">
      <c r="A23" s="42" t="s">
        <v>23</v>
      </c>
      <c r="B23" s="56" t="s">
        <v>39</v>
      </c>
      <c r="C23" s="54"/>
      <c r="D23" s="54"/>
      <c r="E23" s="55"/>
      <c r="F23" s="38">
        <f t="shared" si="0"/>
        <v>-3566.0833333333335</v>
      </c>
      <c r="G23" s="46">
        <v>-42793</v>
      </c>
      <c r="H23" s="38">
        <v>-42793</v>
      </c>
      <c r="I23" s="38">
        <f t="shared" si="1"/>
        <v>0</v>
      </c>
    </row>
    <row r="24" spans="1:9" x14ac:dyDescent="0.25">
      <c r="A24" s="42" t="s">
        <v>25</v>
      </c>
      <c r="B24" s="56" t="s">
        <v>41</v>
      </c>
      <c r="C24" s="54"/>
      <c r="D24" s="54"/>
      <c r="E24" s="55"/>
      <c r="F24" s="38">
        <f t="shared" si="0"/>
        <v>3</v>
      </c>
      <c r="G24" s="46">
        <v>36</v>
      </c>
      <c r="H24" s="38">
        <v>36</v>
      </c>
      <c r="I24" s="38">
        <f t="shared" si="1"/>
        <v>0</v>
      </c>
    </row>
    <row r="25" spans="1:9" ht="15" customHeight="1" x14ac:dyDescent="0.25">
      <c r="A25" s="42" t="s">
        <v>27</v>
      </c>
      <c r="B25" s="56" t="s">
        <v>43</v>
      </c>
      <c r="C25" s="54"/>
      <c r="D25" s="54"/>
      <c r="E25" s="55"/>
      <c r="F25" s="38">
        <f t="shared" si="0"/>
        <v>4.666666666666667</v>
      </c>
      <c r="G25" s="46">
        <v>56</v>
      </c>
      <c r="H25" s="38">
        <v>56</v>
      </c>
      <c r="I25" s="38">
        <f t="shared" si="1"/>
        <v>0</v>
      </c>
    </row>
    <row r="26" spans="1:9" ht="15" customHeight="1" x14ac:dyDescent="0.2">
      <c r="A26" s="42" t="s">
        <v>29</v>
      </c>
      <c r="B26" s="43" t="s">
        <v>33</v>
      </c>
      <c r="C26" s="54"/>
      <c r="D26" s="54"/>
      <c r="E26" s="55"/>
      <c r="F26" s="38">
        <f t="shared" si="0"/>
        <v>306</v>
      </c>
      <c r="G26" s="38">
        <v>3672</v>
      </c>
      <c r="H26" s="38">
        <v>3672</v>
      </c>
      <c r="I26" s="38">
        <f t="shared" si="1"/>
        <v>0</v>
      </c>
    </row>
    <row r="27" spans="1:9" ht="15" customHeight="1" x14ac:dyDescent="0.2">
      <c r="A27" s="42" t="s">
        <v>30</v>
      </c>
      <c r="B27" s="43" t="s">
        <v>35</v>
      </c>
      <c r="C27" s="54"/>
      <c r="D27" s="54"/>
      <c r="E27" s="55"/>
      <c r="F27" s="38">
        <f t="shared" si="0"/>
        <v>125.58333333333333</v>
      </c>
      <c r="G27" s="38">
        <v>1507</v>
      </c>
      <c r="H27" s="38">
        <v>1507</v>
      </c>
      <c r="I27" s="38">
        <f t="shared" si="1"/>
        <v>0</v>
      </c>
    </row>
    <row r="28" spans="1:9" ht="15" customHeight="1" x14ac:dyDescent="0.2">
      <c r="A28" s="42" t="s">
        <v>32</v>
      </c>
      <c r="B28" s="43" t="s">
        <v>28</v>
      </c>
      <c r="C28" s="54"/>
      <c r="D28" s="54"/>
      <c r="E28" s="55"/>
      <c r="F28" s="38">
        <f t="shared" si="0"/>
        <v>-13523</v>
      </c>
      <c r="G28" s="38">
        <v>-162276</v>
      </c>
      <c r="H28" s="38">
        <v>-162276</v>
      </c>
      <c r="I28" s="38">
        <f t="shared" si="1"/>
        <v>0</v>
      </c>
    </row>
    <row r="29" spans="1:9" ht="15" customHeight="1" x14ac:dyDescent="0.2">
      <c r="A29" s="42" t="s">
        <v>34</v>
      </c>
      <c r="B29" s="43" t="s">
        <v>26</v>
      </c>
      <c r="C29" s="54"/>
      <c r="D29" s="54"/>
      <c r="E29" s="55"/>
      <c r="F29" s="38">
        <f t="shared" si="0"/>
        <v>51043.416666666664</v>
      </c>
      <c r="G29" s="38">
        <v>612521</v>
      </c>
      <c r="H29" s="38">
        <v>612521</v>
      </c>
      <c r="I29" s="38">
        <f t="shared" si="1"/>
        <v>0</v>
      </c>
    </row>
    <row r="30" spans="1:9" ht="15" customHeight="1" x14ac:dyDescent="0.2">
      <c r="A30" s="42" t="s">
        <v>36</v>
      </c>
      <c r="B30" s="43" t="s">
        <v>122</v>
      </c>
      <c r="C30" s="54"/>
      <c r="D30" s="54"/>
      <c r="E30" s="55"/>
      <c r="F30" s="38">
        <f t="shared" si="0"/>
        <v>-6565.916666666667</v>
      </c>
      <c r="G30" s="38">
        <v>-78791</v>
      </c>
      <c r="H30" s="38">
        <v>-78791</v>
      </c>
      <c r="I30" s="38">
        <f t="shared" si="1"/>
        <v>0</v>
      </c>
    </row>
    <row r="31" spans="1:9" ht="15" customHeight="1" x14ac:dyDescent="0.2">
      <c r="A31" s="42" t="s">
        <v>38</v>
      </c>
      <c r="B31" s="43" t="s">
        <v>134</v>
      </c>
      <c r="C31" s="54"/>
      <c r="D31" s="54"/>
      <c r="E31" s="55"/>
      <c r="F31" s="38">
        <f t="shared" si="0"/>
        <v>-803.75</v>
      </c>
      <c r="G31" s="38">
        <v>-9645</v>
      </c>
      <c r="H31" s="38">
        <v>-9645</v>
      </c>
      <c r="I31" s="38">
        <f t="shared" si="1"/>
        <v>0</v>
      </c>
    </row>
    <row r="32" spans="1:9" ht="30" customHeight="1" x14ac:dyDescent="0.2">
      <c r="A32" s="42" t="s">
        <v>40</v>
      </c>
      <c r="B32" s="43" t="s">
        <v>123</v>
      </c>
      <c r="C32" s="54"/>
      <c r="D32" s="54"/>
      <c r="E32" s="55"/>
      <c r="F32" s="38">
        <f t="shared" si="0"/>
        <v>1824</v>
      </c>
      <c r="G32" s="38">
        <v>21888</v>
      </c>
      <c r="H32" s="38">
        <v>21888</v>
      </c>
      <c r="I32" s="38">
        <f t="shared" si="1"/>
        <v>0</v>
      </c>
    </row>
    <row r="33" spans="1:9" ht="30" customHeight="1" x14ac:dyDescent="0.25">
      <c r="A33" s="42" t="s">
        <v>42</v>
      </c>
      <c r="B33" s="56" t="s">
        <v>62</v>
      </c>
      <c r="C33" s="54"/>
      <c r="D33" s="54"/>
      <c r="E33" s="55"/>
      <c r="F33" s="38">
        <f>G33/12</f>
        <v>6375</v>
      </c>
      <c r="G33" s="38">
        <v>76500</v>
      </c>
      <c r="H33" s="38">
        <v>76500</v>
      </c>
      <c r="I33" s="38">
        <f t="shared" si="1"/>
        <v>0</v>
      </c>
    </row>
    <row r="34" spans="1:9" ht="42" customHeight="1" x14ac:dyDescent="0.2">
      <c r="A34" s="149" t="s">
        <v>44</v>
      </c>
      <c r="B34" s="149"/>
      <c r="C34" s="149"/>
      <c r="D34" s="149"/>
      <c r="E34" s="149"/>
      <c r="F34" s="40">
        <f>SUM(F35:F57)</f>
        <v>1127736.3962707631</v>
      </c>
      <c r="G34" s="40">
        <f>G35+G36+G37+G38+G39+G40+G41+G42+G43+G44+G47+G50+G51+G52+G53+G54+G55+G57</f>
        <v>11697429.755249161</v>
      </c>
      <c r="H34" s="40">
        <f>H35+H36+H37+H38+H39+H40+H41+H42+H43+H44+H47+H50+H51+H52+H53+H54+H55+H57</f>
        <v>11563334.52</v>
      </c>
      <c r="I34" s="38">
        <f>H34-G34</f>
        <v>-134095.23524916172</v>
      </c>
    </row>
    <row r="35" spans="1:9" ht="30" x14ac:dyDescent="0.2">
      <c r="A35" s="42" t="s">
        <v>18</v>
      </c>
      <c r="B35" s="43" t="s">
        <v>45</v>
      </c>
      <c r="C35" s="57" t="s">
        <v>46</v>
      </c>
      <c r="D35" s="33">
        <v>12836.4</v>
      </c>
      <c r="E35" s="33"/>
      <c r="F35" s="31">
        <v>262630</v>
      </c>
      <c r="G35" s="31">
        <v>3151559</v>
      </c>
      <c r="H35" s="80">
        <v>3151559</v>
      </c>
      <c r="I35" s="38">
        <f t="shared" ref="I35:I98" si="2">H35-G35</f>
        <v>0</v>
      </c>
    </row>
    <row r="36" spans="1:9" ht="30" x14ac:dyDescent="0.2">
      <c r="A36" s="42" t="s">
        <v>19</v>
      </c>
      <c r="B36" s="43" t="s">
        <v>141</v>
      </c>
      <c r="C36" s="57" t="s">
        <v>46</v>
      </c>
      <c r="D36" s="33">
        <v>12836.4</v>
      </c>
      <c r="E36" s="33">
        <v>7.72</v>
      </c>
      <c r="F36" s="31">
        <f>D36*E36</f>
        <v>99097.007999999987</v>
      </c>
      <c r="G36" s="31">
        <f>F36*12</f>
        <v>1189164.0959999999</v>
      </c>
      <c r="H36" s="80">
        <v>1189081</v>
      </c>
      <c r="I36" s="38">
        <f t="shared" si="2"/>
        <v>-83.095999999903142</v>
      </c>
    </row>
    <row r="37" spans="1:9" x14ac:dyDescent="0.2">
      <c r="A37" s="42" t="s">
        <v>20</v>
      </c>
      <c r="B37" s="43" t="s">
        <v>22</v>
      </c>
      <c r="C37" s="57" t="s">
        <v>46</v>
      </c>
      <c r="D37" s="33">
        <v>12836.4</v>
      </c>
      <c r="E37" s="33"/>
      <c r="F37" s="31">
        <f t="shared" ref="F37:F43" si="3">G37/12</f>
        <v>22513</v>
      </c>
      <c r="G37" s="31">
        <f>G99</f>
        <v>270156</v>
      </c>
      <c r="H37" s="80">
        <v>269564</v>
      </c>
      <c r="I37" s="38">
        <f t="shared" si="2"/>
        <v>-592</v>
      </c>
    </row>
    <row r="38" spans="1:9" x14ac:dyDescent="0.2">
      <c r="A38" s="42" t="s">
        <v>21</v>
      </c>
      <c r="B38" s="43" t="s">
        <v>37</v>
      </c>
      <c r="C38" s="57" t="s">
        <v>46</v>
      </c>
      <c r="D38" s="33"/>
      <c r="E38" s="33"/>
      <c r="F38" s="31">
        <f t="shared" si="3"/>
        <v>29640.5</v>
      </c>
      <c r="G38" s="31">
        <f>G115</f>
        <v>355686</v>
      </c>
      <c r="H38" s="80">
        <v>400983</v>
      </c>
      <c r="I38" s="38">
        <f t="shared" si="2"/>
        <v>45297</v>
      </c>
    </row>
    <row r="39" spans="1:9" x14ac:dyDescent="0.2">
      <c r="A39" s="42" t="s">
        <v>23</v>
      </c>
      <c r="B39" s="43" t="s">
        <v>39</v>
      </c>
      <c r="C39" s="57" t="s">
        <v>46</v>
      </c>
      <c r="D39" s="33">
        <v>12836.4</v>
      </c>
      <c r="E39" s="33"/>
      <c r="F39" s="31">
        <f t="shared" si="3"/>
        <v>65000</v>
      </c>
      <c r="G39" s="31">
        <f>G116</f>
        <v>780000</v>
      </c>
      <c r="H39" s="80">
        <v>779942</v>
      </c>
      <c r="I39" s="38">
        <f t="shared" si="2"/>
        <v>-58</v>
      </c>
    </row>
    <row r="40" spans="1:9" x14ac:dyDescent="0.2">
      <c r="A40" s="42" t="s">
        <v>25</v>
      </c>
      <c r="B40" s="43" t="s">
        <v>41</v>
      </c>
      <c r="C40" s="57" t="s">
        <v>9</v>
      </c>
      <c r="D40" s="57">
        <v>225</v>
      </c>
      <c r="E40" s="33"/>
      <c r="F40" s="31">
        <f t="shared" si="3"/>
        <v>20360</v>
      </c>
      <c r="G40" s="31">
        <f>G117</f>
        <v>244320</v>
      </c>
      <c r="H40" s="80">
        <v>244323</v>
      </c>
      <c r="I40" s="38">
        <f t="shared" si="2"/>
        <v>3</v>
      </c>
    </row>
    <row r="41" spans="1:9" ht="30" x14ac:dyDescent="0.2">
      <c r="A41" s="42" t="s">
        <v>27</v>
      </c>
      <c r="B41" s="58" t="s">
        <v>43</v>
      </c>
      <c r="C41" s="57" t="s">
        <v>9</v>
      </c>
      <c r="D41" s="57">
        <v>249</v>
      </c>
      <c r="E41" s="33"/>
      <c r="F41" s="31">
        <f t="shared" si="3"/>
        <v>9000</v>
      </c>
      <c r="G41" s="31">
        <f>G118</f>
        <v>108000</v>
      </c>
      <c r="H41" s="80">
        <v>108016</v>
      </c>
      <c r="I41" s="38">
        <f t="shared" si="2"/>
        <v>16</v>
      </c>
    </row>
    <row r="42" spans="1:9" s="45" customFormat="1" x14ac:dyDescent="0.2">
      <c r="A42" s="42" t="s">
        <v>29</v>
      </c>
      <c r="B42" s="43" t="s">
        <v>33</v>
      </c>
      <c r="C42" s="57" t="s">
        <v>47</v>
      </c>
      <c r="D42" s="33"/>
      <c r="E42" s="33"/>
      <c r="F42" s="31">
        <f t="shared" si="3"/>
        <v>101800.58333333333</v>
      </c>
      <c r="G42" s="31">
        <f>G121</f>
        <v>1221607</v>
      </c>
      <c r="H42" s="80">
        <v>1265341</v>
      </c>
      <c r="I42" s="38">
        <f t="shared" si="2"/>
        <v>43734</v>
      </c>
    </row>
    <row r="43" spans="1:9" s="45" customFormat="1" x14ac:dyDescent="0.2">
      <c r="A43" s="42" t="s">
        <v>30</v>
      </c>
      <c r="B43" s="43" t="s">
        <v>35</v>
      </c>
      <c r="C43" s="57" t="s">
        <v>47</v>
      </c>
      <c r="D43" s="38"/>
      <c r="E43" s="33"/>
      <c r="F43" s="31">
        <f t="shared" si="3"/>
        <v>21660.25</v>
      </c>
      <c r="G43" s="31">
        <f>G122</f>
        <v>259923</v>
      </c>
      <c r="H43" s="80">
        <v>237107</v>
      </c>
      <c r="I43" s="38">
        <f t="shared" si="2"/>
        <v>-22816</v>
      </c>
    </row>
    <row r="44" spans="1:9" s="45" customFormat="1" x14ac:dyDescent="0.2">
      <c r="A44" s="42" t="s">
        <v>32</v>
      </c>
      <c r="B44" s="43" t="s">
        <v>48</v>
      </c>
      <c r="C44" s="57"/>
      <c r="D44" s="33"/>
      <c r="E44" s="33"/>
      <c r="F44" s="44">
        <f>F45+F46</f>
        <v>51122.916666666664</v>
      </c>
      <c r="G44" s="31">
        <f>G45+G46</f>
        <v>613475</v>
      </c>
      <c r="H44" s="80">
        <f>SUM(H45:H46)</f>
        <v>569608</v>
      </c>
      <c r="I44" s="38">
        <f t="shared" si="2"/>
        <v>-43867</v>
      </c>
    </row>
    <row r="45" spans="1:9" s="45" customFormat="1" x14ac:dyDescent="0.2">
      <c r="A45" s="42"/>
      <c r="B45" s="43" t="s">
        <v>49</v>
      </c>
      <c r="C45" s="57" t="s">
        <v>50</v>
      </c>
      <c r="D45" s="33"/>
      <c r="E45" s="33"/>
      <c r="F45" s="31">
        <f>G45/12</f>
        <v>21977.833333333332</v>
      </c>
      <c r="G45" s="31">
        <f>G123</f>
        <v>263734</v>
      </c>
      <c r="H45" s="80">
        <v>248417</v>
      </c>
      <c r="I45" s="38">
        <f t="shared" si="2"/>
        <v>-15317</v>
      </c>
    </row>
    <row r="46" spans="1:9" s="45" customFormat="1" x14ac:dyDescent="0.2">
      <c r="A46" s="42"/>
      <c r="B46" s="43" t="s">
        <v>48</v>
      </c>
      <c r="C46" s="57" t="s">
        <v>50</v>
      </c>
      <c r="D46" s="33"/>
      <c r="E46" s="33"/>
      <c r="F46" s="31">
        <f>G46/12</f>
        <v>29145.083333333332</v>
      </c>
      <c r="G46" s="31">
        <f>G124</f>
        <v>349741</v>
      </c>
      <c r="H46" s="80">
        <v>321191</v>
      </c>
      <c r="I46" s="38">
        <f t="shared" si="2"/>
        <v>-28550</v>
      </c>
    </row>
    <row r="47" spans="1:9" s="45" customFormat="1" x14ac:dyDescent="0.2">
      <c r="A47" s="42" t="s">
        <v>34</v>
      </c>
      <c r="B47" s="43" t="s">
        <v>52</v>
      </c>
      <c r="C47" s="57"/>
      <c r="D47" s="33"/>
      <c r="E47" s="33"/>
      <c r="F47" s="44">
        <f>F48+F49</f>
        <v>99412.083333333343</v>
      </c>
      <c r="G47" s="31">
        <f>G48+G49</f>
        <v>1192945</v>
      </c>
      <c r="H47" s="80">
        <f>SUM(H48:H49)</f>
        <v>1154545</v>
      </c>
      <c r="I47" s="38">
        <f t="shared" si="2"/>
        <v>-38400</v>
      </c>
    </row>
    <row r="48" spans="1:9" s="45" customFormat="1" x14ac:dyDescent="0.2">
      <c r="A48" s="42"/>
      <c r="B48" s="43" t="s">
        <v>51</v>
      </c>
      <c r="C48" s="57" t="s">
        <v>50</v>
      </c>
      <c r="D48" s="33"/>
      <c r="E48" s="33"/>
      <c r="F48" s="31">
        <f>G48/12</f>
        <v>11576.666666666666</v>
      </c>
      <c r="G48" s="31">
        <f>G126</f>
        <v>138920</v>
      </c>
      <c r="H48" s="80">
        <v>134499</v>
      </c>
      <c r="I48" s="38">
        <f t="shared" si="2"/>
        <v>-4421</v>
      </c>
    </row>
    <row r="49" spans="1:9" s="45" customFormat="1" x14ac:dyDescent="0.2">
      <c r="A49" s="42"/>
      <c r="B49" s="43" t="s">
        <v>52</v>
      </c>
      <c r="C49" s="57" t="s">
        <v>50</v>
      </c>
      <c r="D49" s="33"/>
      <c r="E49" s="33"/>
      <c r="F49" s="31">
        <f>F125</f>
        <v>87835.416666666672</v>
      </c>
      <c r="G49" s="31">
        <f>G125</f>
        <v>1054025</v>
      </c>
      <c r="H49" s="80">
        <v>1020046</v>
      </c>
      <c r="I49" s="38">
        <f t="shared" si="2"/>
        <v>-33979</v>
      </c>
    </row>
    <row r="50" spans="1:9" s="45" customFormat="1" x14ac:dyDescent="0.2">
      <c r="A50" s="42" t="s">
        <v>36</v>
      </c>
      <c r="B50" s="43" t="s">
        <v>53</v>
      </c>
      <c r="C50" s="57" t="s">
        <v>54</v>
      </c>
      <c r="D50" s="33"/>
      <c r="E50" s="59">
        <v>11.856</v>
      </c>
      <c r="F50" s="31">
        <f>G50/12</f>
        <v>157571.58333333334</v>
      </c>
      <c r="G50" s="31">
        <f>G127</f>
        <v>1890859</v>
      </c>
      <c r="H50" s="80">
        <v>1830114</v>
      </c>
      <c r="I50" s="38">
        <f t="shared" si="2"/>
        <v>-60745</v>
      </c>
    </row>
    <row r="51" spans="1:9" ht="30" x14ac:dyDescent="0.2">
      <c r="A51" s="42" t="s">
        <v>38</v>
      </c>
      <c r="B51" s="43" t="s">
        <v>55</v>
      </c>
      <c r="C51" s="57" t="s">
        <v>56</v>
      </c>
      <c r="D51" s="57"/>
      <c r="E51" s="60">
        <v>2.6</v>
      </c>
      <c r="F51" s="31">
        <v>29322.338270763412</v>
      </c>
      <c r="G51" s="31">
        <v>351868.05924916093</v>
      </c>
      <c r="H51" s="80">
        <v>270174</v>
      </c>
      <c r="I51" s="38">
        <f t="shared" si="2"/>
        <v>-81694.059249160928</v>
      </c>
    </row>
    <row r="52" spans="1:9" ht="30" x14ac:dyDescent="0.2">
      <c r="A52" s="42" t="s">
        <v>40</v>
      </c>
      <c r="B52" s="43" t="s">
        <v>123</v>
      </c>
      <c r="C52" s="57" t="s">
        <v>65</v>
      </c>
      <c r="D52" s="38"/>
      <c r="E52" s="38" t="s">
        <v>142</v>
      </c>
      <c r="F52" s="31">
        <f t="shared" ref="F52:F57" si="4">G52/12</f>
        <v>833.33333333333337</v>
      </c>
      <c r="G52" s="31">
        <v>10000</v>
      </c>
      <c r="H52" s="80">
        <v>21500</v>
      </c>
      <c r="I52" s="38">
        <f t="shared" si="2"/>
        <v>11500</v>
      </c>
    </row>
    <row r="53" spans="1:9" x14ac:dyDescent="0.2">
      <c r="A53" s="42" t="s">
        <v>42</v>
      </c>
      <c r="B53" s="43" t="s">
        <v>58</v>
      </c>
      <c r="C53" s="57" t="s">
        <v>65</v>
      </c>
      <c r="D53" s="57">
        <v>1</v>
      </c>
      <c r="E53" s="57">
        <v>50</v>
      </c>
      <c r="F53" s="31">
        <f t="shared" si="4"/>
        <v>83.333333333333329</v>
      </c>
      <c r="G53" s="31">
        <v>1000</v>
      </c>
      <c r="H53" s="38">
        <v>550</v>
      </c>
      <c r="I53" s="38">
        <f t="shared" si="2"/>
        <v>-450</v>
      </c>
    </row>
    <row r="54" spans="1:9" x14ac:dyDescent="0.2">
      <c r="A54" s="42" t="s">
        <v>57</v>
      </c>
      <c r="B54" s="43" t="s">
        <v>61</v>
      </c>
      <c r="C54" s="57" t="s">
        <v>65</v>
      </c>
      <c r="D54" s="57">
        <v>1</v>
      </c>
      <c r="E54" s="57">
        <v>50</v>
      </c>
      <c r="F54" s="31">
        <f t="shared" si="4"/>
        <v>83.333333333333329</v>
      </c>
      <c r="G54" s="31">
        <v>1000</v>
      </c>
      <c r="H54" s="38">
        <v>1500</v>
      </c>
      <c r="I54" s="38">
        <f t="shared" si="2"/>
        <v>500</v>
      </c>
    </row>
    <row r="55" spans="1:9" ht="30" customHeight="1" x14ac:dyDescent="0.2">
      <c r="A55" s="42" t="s">
        <v>59</v>
      </c>
      <c r="B55" s="43" t="s">
        <v>124</v>
      </c>
      <c r="C55" s="57" t="s">
        <v>65</v>
      </c>
      <c r="D55" s="57">
        <v>5.99</v>
      </c>
      <c r="E55" s="33"/>
      <c r="F55" s="31">
        <f t="shared" si="4"/>
        <v>705.63333333333333</v>
      </c>
      <c r="G55" s="31">
        <v>8467.6</v>
      </c>
      <c r="H55" s="80">
        <v>10027.52</v>
      </c>
      <c r="I55" s="38">
        <f t="shared" si="2"/>
        <v>1559.92</v>
      </c>
    </row>
    <row r="56" spans="1:9" ht="30" customHeight="1" x14ac:dyDescent="0.2">
      <c r="A56" s="42"/>
      <c r="B56" s="43" t="s">
        <v>135</v>
      </c>
      <c r="C56" s="57" t="s">
        <v>65</v>
      </c>
      <c r="D56" s="57"/>
      <c r="E56" s="33"/>
      <c r="F56" s="31">
        <f t="shared" si="4"/>
        <v>2415.5</v>
      </c>
      <c r="G56" s="31">
        <v>28986</v>
      </c>
      <c r="H56" s="80">
        <v>29358.57</v>
      </c>
      <c r="I56" s="38">
        <f t="shared" si="2"/>
        <v>372.56999999999971</v>
      </c>
    </row>
    <row r="57" spans="1:9" ht="45" x14ac:dyDescent="0.2">
      <c r="A57" s="42" t="s">
        <v>60</v>
      </c>
      <c r="B57" s="43" t="s">
        <v>62</v>
      </c>
      <c r="C57" s="57" t="s">
        <v>63</v>
      </c>
      <c r="D57" s="38">
        <v>3</v>
      </c>
      <c r="E57" s="38"/>
      <c r="F57" s="31">
        <f t="shared" si="4"/>
        <v>3950</v>
      </c>
      <c r="G57" s="31">
        <v>47400</v>
      </c>
      <c r="H57" s="80">
        <v>59400</v>
      </c>
      <c r="I57" s="38">
        <f t="shared" si="2"/>
        <v>12000</v>
      </c>
    </row>
    <row r="58" spans="1:9" ht="23.25" customHeight="1" x14ac:dyDescent="0.2">
      <c r="A58" s="145" t="s">
        <v>64</v>
      </c>
      <c r="B58" s="145"/>
      <c r="C58" s="145"/>
      <c r="D58" s="145"/>
      <c r="E58" s="145"/>
      <c r="F58" s="36">
        <f>F59+F97+F99+F115+F116+F117+F118+F119+F121+F122+F123+F124+F125+F126+F127</f>
        <v>867795.00493743015</v>
      </c>
      <c r="G58" s="36">
        <f>G59+G97+G99+G115+G116+G117+G118+G119+G121+G122+G123+G124+G125+G126+G127</f>
        <v>10440398.059249161</v>
      </c>
      <c r="H58" s="40">
        <f>H59+H97+H99+H115+H116+H117+H118+H119+H121+H122+H123+H124+H125+H126+H127</f>
        <v>10220809.15</v>
      </c>
      <c r="I58" s="38">
        <f t="shared" si="2"/>
        <v>-219588.90924916044</v>
      </c>
    </row>
    <row r="59" spans="1:9" ht="28.5" x14ac:dyDescent="0.2">
      <c r="A59" s="42">
        <v>1</v>
      </c>
      <c r="B59" s="61" t="s">
        <v>45</v>
      </c>
      <c r="C59" s="62" t="s">
        <v>65</v>
      </c>
      <c r="D59" s="54"/>
      <c r="E59" s="55"/>
      <c r="F59" s="40">
        <v>262630</v>
      </c>
      <c r="G59" s="40">
        <v>3151559</v>
      </c>
      <c r="H59" s="82">
        <f>SUM(H60+H61+H69+H72+H73+H79+H88+H92)</f>
        <v>3207302.87</v>
      </c>
      <c r="I59" s="38">
        <f t="shared" si="2"/>
        <v>55743.870000000112</v>
      </c>
    </row>
    <row r="60" spans="1:9" x14ac:dyDescent="0.2">
      <c r="A60" s="42" t="s">
        <v>66</v>
      </c>
      <c r="B60" s="58" t="s">
        <v>143</v>
      </c>
      <c r="C60" s="31" t="s">
        <v>63</v>
      </c>
      <c r="D60" s="38"/>
      <c r="E60" s="33"/>
      <c r="F60" s="38">
        <f>G60/12</f>
        <v>6666.666666666667</v>
      </c>
      <c r="G60" s="40">
        <v>80000</v>
      </c>
      <c r="H60" s="80">
        <v>115633</v>
      </c>
      <c r="I60" s="38">
        <f t="shared" si="2"/>
        <v>35633</v>
      </c>
    </row>
    <row r="61" spans="1:9" x14ac:dyDescent="0.2">
      <c r="A61" s="42" t="s">
        <v>67</v>
      </c>
      <c r="B61" s="61" t="s">
        <v>68</v>
      </c>
      <c r="C61" s="36"/>
      <c r="D61" s="40"/>
      <c r="E61" s="55"/>
      <c r="F61" s="40">
        <f>F62+F63+F64+F65+F66+F67+F68</f>
        <v>7528.25</v>
      </c>
      <c r="G61" s="40">
        <f>G62+G63+G64+G65+G66+G67+G68</f>
        <v>90339</v>
      </c>
      <c r="H61" s="40">
        <f>H62+H63+H64+H65+H66+H67+H68</f>
        <v>92190.52</v>
      </c>
      <c r="I61" s="38">
        <f t="shared" si="2"/>
        <v>1851.5200000000041</v>
      </c>
    </row>
    <row r="62" spans="1:9" ht="30" x14ac:dyDescent="0.2">
      <c r="A62" s="63"/>
      <c r="B62" s="58" t="s">
        <v>69</v>
      </c>
      <c r="C62" s="31" t="s">
        <v>63</v>
      </c>
      <c r="D62" s="38"/>
      <c r="E62" s="33"/>
      <c r="F62" s="38">
        <f t="shared" ref="F62:F68" si="5">G62/12</f>
        <v>1334.25</v>
      </c>
      <c r="G62" s="38">
        <v>16011</v>
      </c>
      <c r="H62" s="80">
        <v>15881</v>
      </c>
      <c r="I62" s="38">
        <f t="shared" si="2"/>
        <v>-130</v>
      </c>
    </row>
    <row r="63" spans="1:9" x14ac:dyDescent="0.2">
      <c r="A63" s="63"/>
      <c r="B63" s="58" t="s">
        <v>70</v>
      </c>
      <c r="C63" s="31" t="s">
        <v>63</v>
      </c>
      <c r="D63" s="38"/>
      <c r="E63" s="38"/>
      <c r="F63" s="38">
        <f t="shared" si="5"/>
        <v>542.91666666666663</v>
      </c>
      <c r="G63" s="38">
        <v>6515</v>
      </c>
      <c r="H63" s="80">
        <v>5415</v>
      </c>
      <c r="I63" s="38">
        <f t="shared" si="2"/>
        <v>-1100</v>
      </c>
    </row>
    <row r="64" spans="1:9" x14ac:dyDescent="0.2">
      <c r="A64" s="63"/>
      <c r="B64" s="58" t="s">
        <v>71</v>
      </c>
      <c r="C64" s="31" t="s">
        <v>63</v>
      </c>
      <c r="D64" s="38"/>
      <c r="E64" s="38"/>
      <c r="F64" s="38">
        <f t="shared" si="5"/>
        <v>277.25</v>
      </c>
      <c r="G64" s="38">
        <v>3327</v>
      </c>
      <c r="H64" s="80">
        <v>8114</v>
      </c>
      <c r="I64" s="38">
        <f t="shared" si="2"/>
        <v>4787</v>
      </c>
    </row>
    <row r="65" spans="1:9" ht="30" x14ac:dyDescent="0.2">
      <c r="A65" s="63"/>
      <c r="B65" s="58" t="s">
        <v>72</v>
      </c>
      <c r="C65" s="31" t="s">
        <v>63</v>
      </c>
      <c r="D65" s="38"/>
      <c r="E65" s="38"/>
      <c r="F65" s="38">
        <f t="shared" si="5"/>
        <v>2163.3333333333335</v>
      </c>
      <c r="G65" s="38">
        <v>25960</v>
      </c>
      <c r="H65" s="80">
        <v>25960</v>
      </c>
      <c r="I65" s="38">
        <f t="shared" si="2"/>
        <v>0</v>
      </c>
    </row>
    <row r="66" spans="1:9" x14ac:dyDescent="0.2">
      <c r="A66" s="63"/>
      <c r="B66" s="58" t="s">
        <v>144</v>
      </c>
      <c r="C66" s="31" t="s">
        <v>65</v>
      </c>
      <c r="D66" s="38">
        <v>2</v>
      </c>
      <c r="E66" s="33"/>
      <c r="F66" s="38">
        <v>800</v>
      </c>
      <c r="G66" s="38">
        <f>F66*12</f>
        <v>9600</v>
      </c>
      <c r="H66" s="80">
        <v>9600</v>
      </c>
      <c r="I66" s="38">
        <f t="shared" si="2"/>
        <v>0</v>
      </c>
    </row>
    <row r="67" spans="1:9" x14ac:dyDescent="0.2">
      <c r="A67" s="63"/>
      <c r="B67" s="58" t="s">
        <v>73</v>
      </c>
      <c r="C67" s="31" t="s">
        <v>63</v>
      </c>
      <c r="D67" s="38"/>
      <c r="E67" s="38"/>
      <c r="F67" s="38">
        <f t="shared" si="5"/>
        <v>731.08333333333337</v>
      </c>
      <c r="G67" s="38">
        <v>8773</v>
      </c>
      <c r="H67" s="80">
        <v>13236</v>
      </c>
      <c r="I67" s="38">
        <f t="shared" si="2"/>
        <v>4463</v>
      </c>
    </row>
    <row r="68" spans="1:9" x14ac:dyDescent="0.2">
      <c r="A68" s="63"/>
      <c r="B68" s="58" t="s">
        <v>136</v>
      </c>
      <c r="C68" s="31" t="s">
        <v>65</v>
      </c>
      <c r="D68" s="38"/>
      <c r="E68" s="38"/>
      <c r="F68" s="38">
        <f t="shared" si="5"/>
        <v>1679.4166666666667</v>
      </c>
      <c r="G68" s="38">
        <v>20153</v>
      </c>
      <c r="H68" s="80">
        <v>13984.52</v>
      </c>
      <c r="I68" s="38">
        <f t="shared" si="2"/>
        <v>-6168.48</v>
      </c>
    </row>
    <row r="69" spans="1:9" x14ac:dyDescent="0.2">
      <c r="A69" s="42" t="s">
        <v>74</v>
      </c>
      <c r="B69" s="61" t="s">
        <v>75</v>
      </c>
      <c r="C69" s="36"/>
      <c r="D69" s="40"/>
      <c r="E69" s="38"/>
      <c r="F69" s="40">
        <f>F70+F71</f>
        <v>1155.5999999999999</v>
      </c>
      <c r="G69" s="40">
        <f>G70+G71</f>
        <v>13867.2</v>
      </c>
      <c r="H69" s="40">
        <f>H70+H71</f>
        <v>14137</v>
      </c>
      <c r="I69" s="38">
        <f t="shared" si="2"/>
        <v>269.79999999999927</v>
      </c>
    </row>
    <row r="70" spans="1:9" x14ac:dyDescent="0.2">
      <c r="A70" s="63"/>
      <c r="B70" s="58" t="s">
        <v>76</v>
      </c>
      <c r="C70" s="31" t="s">
        <v>77</v>
      </c>
      <c r="D70" s="38"/>
      <c r="E70" s="38"/>
      <c r="F70" s="38">
        <f>315.6</f>
        <v>315.60000000000002</v>
      </c>
      <c r="G70" s="38">
        <f>F70*12</f>
        <v>3787.2000000000003</v>
      </c>
      <c r="H70" s="80">
        <v>4057</v>
      </c>
      <c r="I70" s="38">
        <f t="shared" si="2"/>
        <v>269.79999999999973</v>
      </c>
    </row>
    <row r="71" spans="1:9" x14ac:dyDescent="0.2">
      <c r="A71" s="63"/>
      <c r="B71" s="58" t="s">
        <v>78</v>
      </c>
      <c r="C71" s="31" t="s">
        <v>77</v>
      </c>
      <c r="D71" s="38"/>
      <c r="E71" s="38"/>
      <c r="F71" s="38">
        <f>440+300+100</f>
        <v>840</v>
      </c>
      <c r="G71" s="38">
        <f>F71*12</f>
        <v>10080</v>
      </c>
      <c r="H71" s="80">
        <v>10080</v>
      </c>
      <c r="I71" s="38">
        <f t="shared" si="2"/>
        <v>0</v>
      </c>
    </row>
    <row r="72" spans="1:9" ht="28.5" x14ac:dyDescent="0.2">
      <c r="A72" s="42" t="s">
        <v>79</v>
      </c>
      <c r="B72" s="61" t="s">
        <v>80</v>
      </c>
      <c r="C72" s="36" t="s">
        <v>77</v>
      </c>
      <c r="D72" s="40"/>
      <c r="E72" s="38"/>
      <c r="F72" s="40">
        <f t="shared" ref="F72:F76" si="6">G72/12</f>
        <v>1924</v>
      </c>
      <c r="G72" s="40">
        <v>23088</v>
      </c>
      <c r="H72" s="80">
        <v>27060</v>
      </c>
      <c r="I72" s="38">
        <f t="shared" si="2"/>
        <v>3972</v>
      </c>
    </row>
    <row r="73" spans="1:9" x14ac:dyDescent="0.2">
      <c r="A73" s="42" t="s">
        <v>81</v>
      </c>
      <c r="B73" s="61" t="s">
        <v>82</v>
      </c>
      <c r="C73" s="36"/>
      <c r="D73" s="40"/>
      <c r="E73" s="38"/>
      <c r="F73" s="40">
        <f>F74+F75+F76+F77+F78</f>
        <v>1015.125</v>
      </c>
      <c r="G73" s="40">
        <f>G74+G75+G76+G77+G78</f>
        <v>12181.5</v>
      </c>
      <c r="H73" s="40">
        <f>H74+H75+H76+H77+H78</f>
        <v>21181.35</v>
      </c>
      <c r="I73" s="38">
        <f t="shared" si="2"/>
        <v>8999.8499999999985</v>
      </c>
    </row>
    <row r="74" spans="1:9" x14ac:dyDescent="0.2">
      <c r="A74" s="63"/>
      <c r="B74" s="58" t="s">
        <v>83</v>
      </c>
      <c r="C74" s="31" t="s">
        <v>63</v>
      </c>
      <c r="D74" s="38"/>
      <c r="E74" s="38"/>
      <c r="F74" s="38">
        <f>G74/12</f>
        <v>510.25</v>
      </c>
      <c r="G74" s="38">
        <v>6123</v>
      </c>
      <c r="H74" s="80">
        <v>11632</v>
      </c>
      <c r="I74" s="38">
        <f t="shared" si="2"/>
        <v>5509</v>
      </c>
    </row>
    <row r="75" spans="1:9" x14ac:dyDescent="0.2">
      <c r="A75" s="63"/>
      <c r="B75" s="58" t="s">
        <v>84</v>
      </c>
      <c r="C75" s="31" t="s">
        <v>63</v>
      </c>
      <c r="D75" s="38"/>
      <c r="E75" s="38"/>
      <c r="F75" s="38">
        <f>G75/12</f>
        <v>37.083333333333336</v>
      </c>
      <c r="G75" s="38">
        <v>445</v>
      </c>
      <c r="H75" s="80"/>
      <c r="I75" s="38">
        <f t="shared" si="2"/>
        <v>-445</v>
      </c>
    </row>
    <row r="76" spans="1:9" x14ac:dyDescent="0.2">
      <c r="A76" s="63"/>
      <c r="B76" s="58" t="s">
        <v>85</v>
      </c>
      <c r="C76" s="31" t="s">
        <v>63</v>
      </c>
      <c r="D76" s="38"/>
      <c r="E76" s="38"/>
      <c r="F76" s="38">
        <f t="shared" si="6"/>
        <v>0</v>
      </c>
      <c r="G76" s="38">
        <v>0</v>
      </c>
      <c r="H76" s="80"/>
      <c r="I76" s="38">
        <f t="shared" si="2"/>
        <v>0</v>
      </c>
    </row>
    <row r="77" spans="1:9" x14ac:dyDescent="0.2">
      <c r="A77" s="63"/>
      <c r="B77" s="58" t="s">
        <v>145</v>
      </c>
      <c r="C77" s="31" t="s">
        <v>146</v>
      </c>
      <c r="D77" s="38">
        <v>15</v>
      </c>
      <c r="E77" s="64">
        <v>40.9</v>
      </c>
      <c r="F77" s="38">
        <f>G77/12</f>
        <v>51.125</v>
      </c>
      <c r="G77" s="38">
        <f>D77*E77</f>
        <v>613.5</v>
      </c>
      <c r="H77" s="80">
        <v>249.35</v>
      </c>
      <c r="I77" s="38">
        <f t="shared" si="2"/>
        <v>-364.15</v>
      </c>
    </row>
    <row r="78" spans="1:9" x14ac:dyDescent="0.2">
      <c r="A78" s="63"/>
      <c r="B78" s="58" t="s">
        <v>147</v>
      </c>
      <c r="C78" s="31"/>
      <c r="D78" s="38"/>
      <c r="E78" s="64"/>
      <c r="F78" s="38">
        <f>G78/12</f>
        <v>416.66666666666669</v>
      </c>
      <c r="G78" s="38">
        <v>5000</v>
      </c>
      <c r="H78" s="80">
        <v>9300</v>
      </c>
      <c r="I78" s="38">
        <f t="shared" si="2"/>
        <v>4300</v>
      </c>
    </row>
    <row r="79" spans="1:9" x14ac:dyDescent="0.2">
      <c r="A79" s="42" t="s">
        <v>86</v>
      </c>
      <c r="B79" s="61" t="s">
        <v>87</v>
      </c>
      <c r="C79" s="36"/>
      <c r="D79" s="40"/>
      <c r="E79" s="38"/>
      <c r="F79" s="40">
        <f>F80+F81+F82+F83+F84+F85+F86+F87</f>
        <v>13619</v>
      </c>
      <c r="G79" s="40">
        <f>G80+G81+G82+G83+G84+G85+G86+G87</f>
        <v>163428</v>
      </c>
      <c r="H79" s="40">
        <f>H80+H81+H82+H83+H84+H85+H86+H87</f>
        <v>160730</v>
      </c>
      <c r="I79" s="38">
        <f t="shared" si="2"/>
        <v>-2698</v>
      </c>
    </row>
    <row r="80" spans="1:9" ht="30" customHeight="1" x14ac:dyDescent="0.2">
      <c r="A80" s="63"/>
      <c r="B80" s="58" t="s">
        <v>131</v>
      </c>
      <c r="C80" s="31" t="s">
        <v>9</v>
      </c>
      <c r="D80" s="38"/>
      <c r="E80" s="38"/>
      <c r="F80" s="38">
        <f>G80/12</f>
        <v>1941.75</v>
      </c>
      <c r="G80" s="38">
        <v>23301</v>
      </c>
      <c r="H80" s="80">
        <v>20722</v>
      </c>
      <c r="I80" s="38">
        <f t="shared" si="2"/>
        <v>-2579</v>
      </c>
    </row>
    <row r="81" spans="1:9" x14ac:dyDescent="0.2">
      <c r="A81" s="63"/>
      <c r="B81" s="58" t="s">
        <v>132</v>
      </c>
      <c r="C81" s="31" t="s">
        <v>9</v>
      </c>
      <c r="D81" s="38" t="s">
        <v>128</v>
      </c>
      <c r="E81" s="38"/>
      <c r="F81" s="38">
        <f>G81/12</f>
        <v>4186.833333333333</v>
      </c>
      <c r="G81" s="38">
        <v>50242</v>
      </c>
      <c r="H81" s="80">
        <v>24470</v>
      </c>
      <c r="I81" s="38">
        <f t="shared" si="2"/>
        <v>-25772</v>
      </c>
    </row>
    <row r="82" spans="1:9" ht="21" customHeight="1" x14ac:dyDescent="0.2">
      <c r="A82" s="63"/>
      <c r="B82" s="58" t="s">
        <v>88</v>
      </c>
      <c r="C82" s="31" t="s">
        <v>9</v>
      </c>
      <c r="D82" s="38"/>
      <c r="E82" s="38"/>
      <c r="F82" s="38">
        <f t="shared" ref="F82:F90" si="7">G82/12</f>
        <v>655.75</v>
      </c>
      <c r="G82" s="38">
        <v>7869</v>
      </c>
      <c r="H82" s="80">
        <v>8100</v>
      </c>
      <c r="I82" s="38">
        <f t="shared" si="2"/>
        <v>231</v>
      </c>
    </row>
    <row r="83" spans="1:9" ht="26.25" customHeight="1" x14ac:dyDescent="0.2">
      <c r="A83" s="63"/>
      <c r="B83" s="58" t="s">
        <v>89</v>
      </c>
      <c r="C83" s="31" t="s">
        <v>63</v>
      </c>
      <c r="D83" s="38"/>
      <c r="E83" s="38"/>
      <c r="F83" s="38">
        <f t="shared" si="7"/>
        <v>337.08333333333331</v>
      </c>
      <c r="G83" s="38">
        <v>4045</v>
      </c>
      <c r="H83" s="80">
        <v>4023</v>
      </c>
      <c r="I83" s="38">
        <f t="shared" si="2"/>
        <v>-22</v>
      </c>
    </row>
    <row r="84" spans="1:9" x14ac:dyDescent="0.2">
      <c r="A84" s="63"/>
      <c r="B84" s="58" t="s">
        <v>90</v>
      </c>
      <c r="C84" s="31" t="s">
        <v>63</v>
      </c>
      <c r="D84" s="38"/>
      <c r="E84" s="38"/>
      <c r="F84" s="38">
        <f t="shared" si="7"/>
        <v>899.66666666666663</v>
      </c>
      <c r="G84" s="38">
        <v>10796</v>
      </c>
      <c r="H84" s="80">
        <v>14589</v>
      </c>
      <c r="I84" s="38">
        <f t="shared" si="2"/>
        <v>3793</v>
      </c>
    </row>
    <row r="85" spans="1:9" x14ac:dyDescent="0.2">
      <c r="A85" s="63"/>
      <c r="B85" s="58" t="s">
        <v>91</v>
      </c>
      <c r="C85" s="31"/>
      <c r="D85" s="38"/>
      <c r="E85" s="38"/>
      <c r="F85" s="38">
        <f>G85/12</f>
        <v>641</v>
      </c>
      <c r="G85" s="38">
        <v>7692</v>
      </c>
      <c r="H85" s="80">
        <v>4198</v>
      </c>
      <c r="I85" s="38">
        <f t="shared" si="2"/>
        <v>-3494</v>
      </c>
    </row>
    <row r="86" spans="1:9" ht="30" x14ac:dyDescent="0.2">
      <c r="A86" s="63"/>
      <c r="B86" s="58" t="s">
        <v>148</v>
      </c>
      <c r="C86" s="31"/>
      <c r="D86" s="38"/>
      <c r="E86" s="38"/>
      <c r="F86" s="38">
        <f>G86/12</f>
        <v>833.33333333333337</v>
      </c>
      <c r="G86" s="38">
        <v>10000</v>
      </c>
      <c r="H86" s="80">
        <v>13218</v>
      </c>
      <c r="I86" s="38">
        <f t="shared" si="2"/>
        <v>3218</v>
      </c>
    </row>
    <row r="87" spans="1:9" x14ac:dyDescent="0.2">
      <c r="A87" s="63"/>
      <c r="B87" s="58" t="s">
        <v>117</v>
      </c>
      <c r="C87" s="31"/>
      <c r="D87" s="38"/>
      <c r="E87" s="38"/>
      <c r="F87" s="38">
        <f>G87/12</f>
        <v>4123.583333333333</v>
      </c>
      <c r="G87" s="38">
        <v>49483</v>
      </c>
      <c r="H87" s="80">
        <f>47189+24221</f>
        <v>71410</v>
      </c>
      <c r="I87" s="38">
        <f>H87-G87</f>
        <v>21927</v>
      </c>
    </row>
    <row r="88" spans="1:9" x14ac:dyDescent="0.2">
      <c r="A88" s="42" t="s">
        <v>92</v>
      </c>
      <c r="B88" s="61" t="s">
        <v>93</v>
      </c>
      <c r="C88" s="36"/>
      <c r="D88" s="40"/>
      <c r="E88" s="33"/>
      <c r="F88" s="48">
        <f>F89+F90+F91</f>
        <v>12500</v>
      </c>
      <c r="G88" s="48">
        <f>G89+G90+G91</f>
        <v>150000</v>
      </c>
      <c r="H88" s="48">
        <f>H89+H90+H91</f>
        <v>166253</v>
      </c>
      <c r="I88" s="38">
        <f t="shared" si="2"/>
        <v>16253</v>
      </c>
    </row>
    <row r="89" spans="1:9" x14ac:dyDescent="0.2">
      <c r="A89" s="63" t="s">
        <v>94</v>
      </c>
      <c r="B89" s="58" t="s">
        <v>95</v>
      </c>
      <c r="C89" s="31" t="s">
        <v>63</v>
      </c>
      <c r="D89" s="40"/>
      <c r="E89" s="33"/>
      <c r="F89" s="38">
        <f t="shared" si="7"/>
        <v>12083.333333333334</v>
      </c>
      <c r="G89" s="38">
        <f>105000+40000</f>
        <v>145000</v>
      </c>
      <c r="H89" s="80">
        <v>166253</v>
      </c>
      <c r="I89" s="38">
        <f t="shared" si="2"/>
        <v>21253</v>
      </c>
    </row>
    <row r="90" spans="1:9" ht="30" x14ac:dyDescent="0.2">
      <c r="A90" s="63" t="s">
        <v>96</v>
      </c>
      <c r="B90" s="58" t="s">
        <v>97</v>
      </c>
      <c r="C90" s="31" t="s">
        <v>63</v>
      </c>
      <c r="D90" s="40"/>
      <c r="E90" s="33"/>
      <c r="F90" s="38">
        <f t="shared" si="7"/>
        <v>0</v>
      </c>
      <c r="G90" s="38">
        <v>0</v>
      </c>
      <c r="H90" s="80"/>
      <c r="I90" s="38">
        <f t="shared" si="2"/>
        <v>0</v>
      </c>
    </row>
    <row r="91" spans="1:9" ht="30.75" customHeight="1" x14ac:dyDescent="0.2">
      <c r="A91" s="63" t="s">
        <v>149</v>
      </c>
      <c r="B91" s="58" t="s">
        <v>150</v>
      </c>
      <c r="C91" s="31" t="s">
        <v>146</v>
      </c>
      <c r="D91" s="40">
        <v>100</v>
      </c>
      <c r="E91" s="33">
        <v>42</v>
      </c>
      <c r="F91" s="38">
        <f>G91/12</f>
        <v>416.66666666666669</v>
      </c>
      <c r="G91" s="38">
        <f>D91*E91+800</f>
        <v>5000</v>
      </c>
      <c r="H91" s="80"/>
      <c r="I91" s="38">
        <f t="shared" si="2"/>
        <v>-5000</v>
      </c>
    </row>
    <row r="92" spans="1:9" x14ac:dyDescent="0.2">
      <c r="A92" s="42" t="s">
        <v>98</v>
      </c>
      <c r="B92" s="61" t="s">
        <v>99</v>
      </c>
      <c r="C92" s="36"/>
      <c r="D92" s="40"/>
      <c r="E92" s="33"/>
      <c r="F92" s="40">
        <f>F93+F94+F95+F96</f>
        <v>218221.81850000002</v>
      </c>
      <c r="G92" s="40">
        <f>G93+G94+G95+G96</f>
        <v>2618657.8220000002</v>
      </c>
      <c r="H92" s="40">
        <f>H93+H94+H95+H96</f>
        <v>2610118</v>
      </c>
      <c r="I92" s="38">
        <f t="shared" si="2"/>
        <v>-8539.8220000001602</v>
      </c>
    </row>
    <row r="93" spans="1:9" ht="30" x14ac:dyDescent="0.2">
      <c r="A93" s="65" t="s">
        <v>100</v>
      </c>
      <c r="B93" s="58" t="s">
        <v>101</v>
      </c>
      <c r="C93" s="31"/>
      <c r="D93" s="38"/>
      <c r="E93" s="33"/>
      <c r="F93" s="38">
        <v>150097</v>
      </c>
      <c r="G93" s="38">
        <v>1801160</v>
      </c>
      <c r="H93" s="80">
        <v>1792558</v>
      </c>
      <c r="I93" s="38">
        <f t="shared" si="2"/>
        <v>-8602</v>
      </c>
    </row>
    <row r="94" spans="1:9" x14ac:dyDescent="0.2">
      <c r="A94" s="65" t="s">
        <v>102</v>
      </c>
      <c r="B94" s="58" t="s">
        <v>129</v>
      </c>
      <c r="C94" s="66"/>
      <c r="D94" s="67">
        <v>0.30199999999999999</v>
      </c>
      <c r="E94" s="33"/>
      <c r="F94" s="38">
        <f>(F95+F96+F93)/100*30.2</f>
        <v>50616.735166666673</v>
      </c>
      <c r="G94" s="38">
        <f>F94*12</f>
        <v>607400.82200000004</v>
      </c>
      <c r="H94" s="80">
        <v>607463</v>
      </c>
      <c r="I94" s="38">
        <f t="shared" si="2"/>
        <v>62.177999999956228</v>
      </c>
    </row>
    <row r="95" spans="1:9" x14ac:dyDescent="0.2">
      <c r="A95" s="65" t="s">
        <v>103</v>
      </c>
      <c r="B95" s="58" t="s">
        <v>130</v>
      </c>
      <c r="C95" s="31"/>
      <c r="D95" s="38"/>
      <c r="E95" s="33"/>
      <c r="F95" s="38">
        <f>G95/12</f>
        <v>12508.083333333334</v>
      </c>
      <c r="G95" s="38">
        <f>F93</f>
        <v>150097</v>
      </c>
      <c r="H95" s="80">
        <v>150097</v>
      </c>
      <c r="I95" s="38">
        <f t="shared" si="2"/>
        <v>0</v>
      </c>
    </row>
    <row r="96" spans="1:9" x14ac:dyDescent="0.2">
      <c r="A96" s="65" t="s">
        <v>104</v>
      </c>
      <c r="B96" s="58" t="s">
        <v>105</v>
      </c>
      <c r="C96" s="31"/>
      <c r="D96" s="38"/>
      <c r="E96" s="33"/>
      <c r="F96" s="38">
        <f>G96/12</f>
        <v>5000</v>
      </c>
      <c r="G96" s="38">
        <v>60000</v>
      </c>
      <c r="H96" s="80">
        <v>60000</v>
      </c>
      <c r="I96" s="38">
        <f t="shared" si="2"/>
        <v>0</v>
      </c>
    </row>
    <row r="97" spans="1:9" x14ac:dyDescent="0.2">
      <c r="A97" s="42" t="s">
        <v>19</v>
      </c>
      <c r="B97" s="61" t="s">
        <v>107</v>
      </c>
      <c r="C97" s="36"/>
      <c r="D97" s="40"/>
      <c r="E97" s="33"/>
      <c r="F97" s="38">
        <v>0</v>
      </c>
      <c r="G97" s="38">
        <f>G98</f>
        <v>0</v>
      </c>
      <c r="H97" s="80"/>
      <c r="I97" s="38">
        <f t="shared" si="2"/>
        <v>0</v>
      </c>
    </row>
    <row r="98" spans="1:9" x14ac:dyDescent="0.2">
      <c r="A98" s="42"/>
      <c r="B98" s="58" t="s">
        <v>151</v>
      </c>
      <c r="C98" s="36"/>
      <c r="D98" s="40"/>
      <c r="E98" s="33"/>
      <c r="F98" s="38">
        <v>0</v>
      </c>
      <c r="G98" s="38">
        <v>0</v>
      </c>
      <c r="H98" s="80"/>
      <c r="I98" s="38">
        <f t="shared" si="2"/>
        <v>0</v>
      </c>
    </row>
    <row r="99" spans="1:9" ht="28.5" x14ac:dyDescent="0.2">
      <c r="A99" s="42" t="s">
        <v>20</v>
      </c>
      <c r="B99" s="61" t="s">
        <v>22</v>
      </c>
      <c r="C99" s="36"/>
      <c r="D99" s="40"/>
      <c r="E99" s="33"/>
      <c r="F99" s="40">
        <f>F100+F101+F102+F103+F104+F105+F106+F107+F108+F109+F110+F111+F112+F114</f>
        <v>20274.750000000004</v>
      </c>
      <c r="G99" s="40">
        <f>G100+G101+G102+G103+G104+G105+G106+G107+G108+G109+G110+G111+G112+G114+G113</f>
        <v>270156</v>
      </c>
      <c r="H99" s="40">
        <f>H100+H101+H102+H103+H104+H105+H106+H107+H108+H109+H110+H111+H112+H114+H113</f>
        <v>264315</v>
      </c>
      <c r="I99" s="38">
        <f t="shared" ref="I99:I144" si="8">H99-G99</f>
        <v>-5841</v>
      </c>
    </row>
    <row r="100" spans="1:9" x14ac:dyDescent="0.2">
      <c r="A100" s="42"/>
      <c r="B100" s="68" t="s">
        <v>108</v>
      </c>
      <c r="C100" s="31" t="s">
        <v>113</v>
      </c>
      <c r="D100" s="38">
        <v>7</v>
      </c>
      <c r="E100" s="38">
        <v>5000</v>
      </c>
      <c r="F100" s="37">
        <f t="shared" ref="F100:F111" si="9">G100/12</f>
        <v>2916.6666666666665</v>
      </c>
      <c r="G100" s="38">
        <f>E100*D100</f>
        <v>35000</v>
      </c>
      <c r="H100" s="80">
        <v>35000</v>
      </c>
      <c r="I100" s="38">
        <f t="shared" si="8"/>
        <v>0</v>
      </c>
    </row>
    <row r="101" spans="1:9" x14ac:dyDescent="0.2">
      <c r="A101" s="42"/>
      <c r="B101" s="68" t="s">
        <v>109</v>
      </c>
      <c r="C101" s="31" t="s">
        <v>113</v>
      </c>
      <c r="D101" s="38">
        <v>3</v>
      </c>
      <c r="E101" s="38">
        <v>3000</v>
      </c>
      <c r="F101" s="37">
        <f t="shared" si="9"/>
        <v>750</v>
      </c>
      <c r="G101" s="38">
        <f>E101*D101</f>
        <v>9000</v>
      </c>
      <c r="H101" s="80">
        <v>9000</v>
      </c>
      <c r="I101" s="38">
        <f t="shared" si="8"/>
        <v>0</v>
      </c>
    </row>
    <row r="102" spans="1:9" x14ac:dyDescent="0.2">
      <c r="A102" s="42"/>
      <c r="B102" s="68" t="s">
        <v>112</v>
      </c>
      <c r="C102" s="31" t="s">
        <v>113</v>
      </c>
      <c r="D102" s="38">
        <v>3</v>
      </c>
      <c r="E102" s="38">
        <v>3000</v>
      </c>
      <c r="F102" s="37">
        <f t="shared" si="9"/>
        <v>750</v>
      </c>
      <c r="G102" s="38">
        <f>E102*D102</f>
        <v>9000</v>
      </c>
      <c r="H102" s="80">
        <v>9000</v>
      </c>
      <c r="I102" s="38">
        <f t="shared" si="8"/>
        <v>0</v>
      </c>
    </row>
    <row r="103" spans="1:9" ht="45" x14ac:dyDescent="0.2">
      <c r="A103" s="42"/>
      <c r="B103" s="58" t="s">
        <v>139</v>
      </c>
      <c r="C103" s="31" t="s">
        <v>113</v>
      </c>
      <c r="D103" s="38">
        <v>3</v>
      </c>
      <c r="E103" s="33"/>
      <c r="F103" s="37">
        <f t="shared" si="9"/>
        <v>780</v>
      </c>
      <c r="G103" s="38">
        <v>9360</v>
      </c>
      <c r="H103" s="80">
        <v>8400</v>
      </c>
      <c r="I103" s="38">
        <f t="shared" si="8"/>
        <v>-960</v>
      </c>
    </row>
    <row r="104" spans="1:9" x14ac:dyDescent="0.2">
      <c r="A104" s="42"/>
      <c r="B104" s="58" t="s">
        <v>138</v>
      </c>
      <c r="C104" s="31" t="s">
        <v>9</v>
      </c>
      <c r="D104" s="38">
        <v>1</v>
      </c>
      <c r="E104" s="38"/>
      <c r="F104" s="37">
        <f t="shared" si="9"/>
        <v>100</v>
      </c>
      <c r="G104" s="38">
        <v>1200</v>
      </c>
      <c r="H104" s="80">
        <v>1500</v>
      </c>
      <c r="I104" s="38">
        <f t="shared" si="8"/>
        <v>300</v>
      </c>
    </row>
    <row r="105" spans="1:9" x14ac:dyDescent="0.2">
      <c r="A105" s="63"/>
      <c r="B105" s="58" t="s">
        <v>110</v>
      </c>
      <c r="C105" s="31" t="s">
        <v>9</v>
      </c>
      <c r="D105" s="38">
        <v>5</v>
      </c>
      <c r="E105" s="38"/>
      <c r="F105" s="37">
        <f t="shared" si="9"/>
        <v>925</v>
      </c>
      <c r="G105" s="38">
        <v>11100</v>
      </c>
      <c r="H105" s="80">
        <v>11100</v>
      </c>
      <c r="I105" s="38">
        <f t="shared" si="8"/>
        <v>0</v>
      </c>
    </row>
    <row r="106" spans="1:9" ht="25.5" x14ac:dyDescent="0.2">
      <c r="A106" s="63"/>
      <c r="B106" s="68" t="s">
        <v>111</v>
      </c>
      <c r="C106" s="31" t="s">
        <v>63</v>
      </c>
      <c r="D106" s="38">
        <v>1</v>
      </c>
      <c r="E106" s="38"/>
      <c r="F106" s="37">
        <f t="shared" si="9"/>
        <v>482.25</v>
      </c>
      <c r="G106" s="38">
        <v>5787</v>
      </c>
      <c r="H106" s="80">
        <v>5790</v>
      </c>
      <c r="I106" s="38">
        <f t="shared" si="8"/>
        <v>3</v>
      </c>
    </row>
    <row r="107" spans="1:9" ht="45" x14ac:dyDescent="0.2">
      <c r="A107" s="63"/>
      <c r="B107" s="58" t="s">
        <v>152</v>
      </c>
      <c r="C107" s="31" t="s">
        <v>63</v>
      </c>
      <c r="D107" s="38">
        <v>26</v>
      </c>
      <c r="E107" s="33"/>
      <c r="F107" s="37">
        <f t="shared" si="9"/>
        <v>1162.5</v>
      </c>
      <c r="G107" s="38">
        <v>13950</v>
      </c>
      <c r="H107" s="80">
        <v>18550</v>
      </c>
      <c r="I107" s="38">
        <f t="shared" si="8"/>
        <v>4600</v>
      </c>
    </row>
    <row r="108" spans="1:9" ht="30" x14ac:dyDescent="0.2">
      <c r="A108" s="63"/>
      <c r="B108" s="58" t="s">
        <v>114</v>
      </c>
      <c r="C108" s="31" t="s">
        <v>115</v>
      </c>
      <c r="D108" s="38">
        <v>1</v>
      </c>
      <c r="E108" s="38"/>
      <c r="F108" s="37">
        <f t="shared" si="9"/>
        <v>1200</v>
      </c>
      <c r="G108" s="38">
        <v>14400</v>
      </c>
      <c r="H108" s="80">
        <v>20750</v>
      </c>
      <c r="I108" s="38">
        <f t="shared" si="8"/>
        <v>6350</v>
      </c>
    </row>
    <row r="109" spans="1:9" ht="30" x14ac:dyDescent="0.2">
      <c r="A109" s="63"/>
      <c r="B109" s="58" t="s">
        <v>153</v>
      </c>
      <c r="C109" s="31" t="s">
        <v>63</v>
      </c>
      <c r="D109" s="38">
        <v>8</v>
      </c>
      <c r="E109" s="33"/>
      <c r="F109" s="38">
        <f>G109/12</f>
        <v>3333.3333333333335</v>
      </c>
      <c r="G109" s="38">
        <v>40000</v>
      </c>
      <c r="H109" s="80">
        <v>44525</v>
      </c>
      <c r="I109" s="38">
        <f t="shared" si="8"/>
        <v>4525</v>
      </c>
    </row>
    <row r="110" spans="1:9" ht="30" x14ac:dyDescent="0.2">
      <c r="A110" s="63"/>
      <c r="B110" s="58" t="s">
        <v>154</v>
      </c>
      <c r="C110" s="31" t="s">
        <v>63</v>
      </c>
      <c r="D110" s="38">
        <v>12</v>
      </c>
      <c r="E110" s="33"/>
      <c r="F110" s="37">
        <f>G110/12</f>
        <v>500</v>
      </c>
      <c r="G110" s="38">
        <v>6000</v>
      </c>
      <c r="H110" s="80">
        <v>6800</v>
      </c>
      <c r="I110" s="38">
        <f t="shared" si="8"/>
        <v>800</v>
      </c>
    </row>
    <row r="111" spans="1:9" x14ac:dyDescent="0.2">
      <c r="A111" s="63"/>
      <c r="B111" s="58" t="s">
        <v>116</v>
      </c>
      <c r="C111" s="31" t="s">
        <v>63</v>
      </c>
      <c r="D111" s="38"/>
      <c r="E111" s="38"/>
      <c r="F111" s="37">
        <f t="shared" si="9"/>
        <v>708.33333333333337</v>
      </c>
      <c r="G111" s="50">
        <v>8500</v>
      </c>
      <c r="H111" s="80"/>
      <c r="I111" s="38">
        <f t="shared" si="8"/>
        <v>-8500</v>
      </c>
    </row>
    <row r="112" spans="1:9" ht="30" x14ac:dyDescent="0.2">
      <c r="A112" s="63"/>
      <c r="B112" s="58" t="s">
        <v>106</v>
      </c>
      <c r="C112" s="31" t="s">
        <v>63</v>
      </c>
      <c r="D112" s="38">
        <v>12</v>
      </c>
      <c r="E112" s="33"/>
      <c r="F112" s="69">
        <f>G112/12</f>
        <v>5000</v>
      </c>
      <c r="G112" s="38">
        <v>60000</v>
      </c>
      <c r="H112" s="80">
        <v>60000</v>
      </c>
      <c r="I112" s="38">
        <f t="shared" si="8"/>
        <v>0</v>
      </c>
    </row>
    <row r="113" spans="1:10" x14ac:dyDescent="0.2">
      <c r="A113" s="63"/>
      <c r="B113" s="58" t="s">
        <v>155</v>
      </c>
      <c r="C113" s="31"/>
      <c r="D113" s="38"/>
      <c r="E113" s="33"/>
      <c r="F113" s="69">
        <f>G113/12</f>
        <v>2238.25</v>
      </c>
      <c r="G113" s="38">
        <v>26859</v>
      </c>
      <c r="H113" s="80"/>
      <c r="I113" s="38">
        <f t="shared" si="8"/>
        <v>-26859</v>
      </c>
    </row>
    <row r="114" spans="1:10" x14ac:dyDescent="0.25">
      <c r="A114" s="70"/>
      <c r="B114" s="58" t="s">
        <v>117</v>
      </c>
      <c r="C114" s="31" t="s">
        <v>63</v>
      </c>
      <c r="D114" s="71"/>
      <c r="E114" s="72"/>
      <c r="F114" s="37">
        <f>G114/12</f>
        <v>1666.6666666666667</v>
      </c>
      <c r="G114" s="38">
        <v>20000</v>
      </c>
      <c r="H114" s="80">
        <v>33900</v>
      </c>
      <c r="I114" s="38">
        <f t="shared" si="8"/>
        <v>13900</v>
      </c>
    </row>
    <row r="115" spans="1:10" x14ac:dyDescent="0.2">
      <c r="A115" s="42" t="s">
        <v>21</v>
      </c>
      <c r="B115" s="61" t="s">
        <v>37</v>
      </c>
      <c r="C115" s="31" t="s">
        <v>63</v>
      </c>
      <c r="D115" s="54">
        <v>495</v>
      </c>
      <c r="E115" s="33"/>
      <c r="F115" s="39">
        <v>29640.5</v>
      </c>
      <c r="G115" s="40">
        <f>F115*12</f>
        <v>355686</v>
      </c>
      <c r="H115" s="80">
        <v>393574</v>
      </c>
      <c r="I115" s="38">
        <f t="shared" si="8"/>
        <v>37888</v>
      </c>
    </row>
    <row r="116" spans="1:10" x14ac:dyDescent="0.2">
      <c r="A116" s="42" t="s">
        <v>23</v>
      </c>
      <c r="B116" s="73" t="s">
        <v>39</v>
      </c>
      <c r="C116" s="31" t="s">
        <v>63</v>
      </c>
      <c r="D116" s="54">
        <v>12</v>
      </c>
      <c r="E116" s="38">
        <v>65000</v>
      </c>
      <c r="F116" s="39">
        <v>65000</v>
      </c>
      <c r="G116" s="40">
        <f>F116*12</f>
        <v>780000</v>
      </c>
      <c r="H116" s="79">
        <v>780000</v>
      </c>
      <c r="I116" s="38">
        <f t="shared" si="8"/>
        <v>0</v>
      </c>
    </row>
    <row r="117" spans="1:10" x14ac:dyDescent="0.2">
      <c r="A117" s="42" t="s">
        <v>25</v>
      </c>
      <c r="B117" s="73" t="s">
        <v>41</v>
      </c>
      <c r="C117" s="31" t="s">
        <v>63</v>
      </c>
      <c r="D117" s="54">
        <v>12</v>
      </c>
      <c r="E117" s="38"/>
      <c r="F117" s="39">
        <v>20360</v>
      </c>
      <c r="G117" s="40">
        <f>F117*12</f>
        <v>244320</v>
      </c>
      <c r="H117" s="79">
        <v>244320</v>
      </c>
      <c r="I117" s="38">
        <f t="shared" si="8"/>
        <v>0</v>
      </c>
      <c r="J117" s="3"/>
    </row>
    <row r="118" spans="1:10" ht="28.5" x14ac:dyDescent="0.2">
      <c r="A118" s="42" t="s">
        <v>27</v>
      </c>
      <c r="B118" s="73" t="s">
        <v>43</v>
      </c>
      <c r="C118" s="31" t="s">
        <v>63</v>
      </c>
      <c r="D118" s="54">
        <v>12</v>
      </c>
      <c r="E118" s="38"/>
      <c r="F118" s="39">
        <v>9000</v>
      </c>
      <c r="G118" s="40">
        <f>F118*12</f>
        <v>108000</v>
      </c>
      <c r="H118" s="79">
        <v>108000</v>
      </c>
      <c r="I118" s="38">
        <f t="shared" si="8"/>
        <v>0</v>
      </c>
    </row>
    <row r="119" spans="1:10" ht="28.5" x14ac:dyDescent="0.2">
      <c r="A119" s="42" t="s">
        <v>29</v>
      </c>
      <c r="B119" s="73" t="s">
        <v>55</v>
      </c>
      <c r="C119" s="54" t="s">
        <v>118</v>
      </c>
      <c r="D119" s="54">
        <v>2.6</v>
      </c>
      <c r="E119" s="33"/>
      <c r="F119" s="39">
        <v>29322.338270763412</v>
      </c>
      <c r="G119" s="40">
        <v>351868.05924916093</v>
      </c>
      <c r="H119" s="80">
        <v>283742.28000000003</v>
      </c>
      <c r="I119" s="38">
        <f t="shared" si="8"/>
        <v>-68125.7792491609</v>
      </c>
    </row>
    <row r="120" spans="1:10" ht="12.75" customHeight="1" x14ac:dyDescent="0.2">
      <c r="A120" s="146" t="s">
        <v>119</v>
      </c>
      <c r="B120" s="146"/>
      <c r="C120" s="146"/>
      <c r="D120" s="146"/>
      <c r="E120" s="146"/>
      <c r="F120" s="146"/>
      <c r="G120" s="47">
        <f>G121+G122+G123+G124+G125+G126+G127</f>
        <v>5178809</v>
      </c>
      <c r="H120" s="40">
        <f>H121+H122+H123+H124+H125+H126+H127</f>
        <v>4939555</v>
      </c>
      <c r="I120" s="38">
        <f t="shared" si="8"/>
        <v>-239254</v>
      </c>
    </row>
    <row r="121" spans="1:10" x14ac:dyDescent="0.25">
      <c r="A121" s="42" t="s">
        <v>30</v>
      </c>
      <c r="B121" s="74" t="s">
        <v>33</v>
      </c>
      <c r="C121" s="75" t="s">
        <v>47</v>
      </c>
      <c r="D121" s="76"/>
      <c r="E121" s="32">
        <v>2.6</v>
      </c>
      <c r="F121" s="31">
        <f>G121/12</f>
        <v>101800.58333333333</v>
      </c>
      <c r="G121" s="49">
        <v>1221607</v>
      </c>
      <c r="H121" s="80">
        <v>1265341</v>
      </c>
      <c r="I121" s="38">
        <f t="shared" si="8"/>
        <v>43734</v>
      </c>
    </row>
    <row r="122" spans="1:10" x14ac:dyDescent="0.25">
      <c r="A122" s="42" t="s">
        <v>32</v>
      </c>
      <c r="B122" s="68" t="s">
        <v>35</v>
      </c>
      <c r="C122" s="77" t="s">
        <v>47</v>
      </c>
      <c r="D122" s="76"/>
      <c r="E122" s="33">
        <v>2.6</v>
      </c>
      <c r="F122" s="31">
        <f t="shared" ref="F122:F127" si="10">G122/12</f>
        <v>21660.25</v>
      </c>
      <c r="G122" s="49">
        <v>259923</v>
      </c>
      <c r="H122" s="79">
        <v>236935</v>
      </c>
      <c r="I122" s="38">
        <f t="shared" si="8"/>
        <v>-22988</v>
      </c>
    </row>
    <row r="123" spans="1:10" ht="12.75" customHeight="1" x14ac:dyDescent="0.25">
      <c r="A123" s="145" t="s">
        <v>34</v>
      </c>
      <c r="B123" s="74" t="s">
        <v>49</v>
      </c>
      <c r="C123" s="75" t="s">
        <v>50</v>
      </c>
      <c r="D123" s="76"/>
      <c r="E123" s="32">
        <v>15.89</v>
      </c>
      <c r="F123" s="31">
        <f t="shared" si="10"/>
        <v>21977.833333333332</v>
      </c>
      <c r="G123" s="49">
        <v>263734</v>
      </c>
      <c r="H123" s="79">
        <v>268036</v>
      </c>
      <c r="I123" s="38">
        <f t="shared" si="8"/>
        <v>4302</v>
      </c>
    </row>
    <row r="124" spans="1:10" x14ac:dyDescent="0.25">
      <c r="A124" s="145"/>
      <c r="B124" s="74" t="s">
        <v>48</v>
      </c>
      <c r="C124" s="75" t="s">
        <v>50</v>
      </c>
      <c r="D124" s="76"/>
      <c r="E124" s="32">
        <v>15.89</v>
      </c>
      <c r="F124" s="31">
        <f t="shared" si="10"/>
        <v>29145.083333333332</v>
      </c>
      <c r="G124" s="49">
        <v>349741</v>
      </c>
      <c r="H124" s="79">
        <v>377786</v>
      </c>
      <c r="I124" s="38">
        <f t="shared" si="8"/>
        <v>28045</v>
      </c>
    </row>
    <row r="125" spans="1:10" ht="12.75" customHeight="1" x14ac:dyDescent="0.25">
      <c r="A125" s="145" t="s">
        <v>36</v>
      </c>
      <c r="B125" s="74" t="s">
        <v>52</v>
      </c>
      <c r="C125" s="75" t="s">
        <v>50</v>
      </c>
      <c r="D125" s="76"/>
      <c r="E125" s="32">
        <v>60.820000000000007</v>
      </c>
      <c r="F125" s="31">
        <f t="shared" si="10"/>
        <v>87835.416666666672</v>
      </c>
      <c r="G125" s="49">
        <v>1054025</v>
      </c>
      <c r="H125" s="79">
        <v>1068489</v>
      </c>
      <c r="I125" s="38">
        <f t="shared" si="8"/>
        <v>14464</v>
      </c>
    </row>
    <row r="126" spans="1:10" x14ac:dyDescent="0.25">
      <c r="A126" s="145"/>
      <c r="B126" s="74" t="s">
        <v>120</v>
      </c>
      <c r="C126" s="75" t="s">
        <v>50</v>
      </c>
      <c r="D126" s="76"/>
      <c r="E126" s="32">
        <v>60.820000000000007</v>
      </c>
      <c r="F126" s="31">
        <f t="shared" si="10"/>
        <v>11576.666666666666</v>
      </c>
      <c r="G126" s="49">
        <v>138920</v>
      </c>
      <c r="H126" s="79">
        <v>159988</v>
      </c>
      <c r="I126" s="38">
        <f t="shared" si="8"/>
        <v>21068</v>
      </c>
    </row>
    <row r="127" spans="1:10" x14ac:dyDescent="0.25">
      <c r="A127" s="42" t="s">
        <v>38</v>
      </c>
      <c r="B127" s="74" t="s">
        <v>53</v>
      </c>
      <c r="C127" s="75" t="s">
        <v>54</v>
      </c>
      <c r="D127" s="76"/>
      <c r="E127" s="41">
        <v>11.856</v>
      </c>
      <c r="F127" s="31">
        <f t="shared" si="10"/>
        <v>157571.58333333334</v>
      </c>
      <c r="G127" s="49">
        <v>1890859</v>
      </c>
      <c r="H127" s="79">
        <v>1562980</v>
      </c>
      <c r="I127" s="38">
        <f t="shared" si="8"/>
        <v>-327879</v>
      </c>
    </row>
    <row r="128" spans="1:10" ht="12.75" customHeight="1" x14ac:dyDescent="0.25">
      <c r="A128" s="78"/>
      <c r="B128" s="148" t="s">
        <v>125</v>
      </c>
      <c r="C128" s="148"/>
      <c r="D128" s="148"/>
      <c r="E128" s="148"/>
      <c r="F128" s="148"/>
      <c r="G128" s="47">
        <f>G129+G130+G131+G132+G133+G134+G135+G136+G137+G138+G139+G140+G141+G142+G143+G144</f>
        <v>7094231.5141654164</v>
      </c>
      <c r="H128" s="40">
        <f>H129+H130+H131+H132+H133+H134+H135+H136+H137+H138+H139+H140+H141+H142+H143+H144</f>
        <v>7182116.0381654166</v>
      </c>
      <c r="I128" s="38">
        <f t="shared" si="8"/>
        <v>87884.524000000209</v>
      </c>
    </row>
    <row r="129" spans="1:9" ht="12.75" customHeight="1" x14ac:dyDescent="0.2">
      <c r="A129" s="42" t="s">
        <v>18</v>
      </c>
      <c r="B129" s="43" t="s">
        <v>24</v>
      </c>
      <c r="C129" s="54"/>
      <c r="D129" s="54"/>
      <c r="E129" s="55"/>
      <c r="F129" s="54"/>
      <c r="G129" s="38">
        <f>G18+G35-G59</f>
        <v>-143400.23183458298</v>
      </c>
      <c r="H129" s="38">
        <f>H18+H35-H59</f>
        <v>-199144.1018345831</v>
      </c>
      <c r="I129" s="38">
        <f t="shared" si="8"/>
        <v>-55743.870000000112</v>
      </c>
    </row>
    <row r="130" spans="1:9" ht="26.25" customHeight="1" x14ac:dyDescent="0.2">
      <c r="A130" s="42" t="s">
        <v>19</v>
      </c>
      <c r="B130" s="43" t="s">
        <v>121</v>
      </c>
      <c r="C130" s="54"/>
      <c r="D130" s="54"/>
      <c r="E130" s="55"/>
      <c r="F130" s="54"/>
      <c r="G130" s="38">
        <f>G19+G55</f>
        <v>149830.6</v>
      </c>
      <c r="H130" s="38">
        <f>H19+H55</f>
        <v>151390.51999999999</v>
      </c>
      <c r="I130" s="38">
        <f t="shared" si="8"/>
        <v>1559.9199999999837</v>
      </c>
    </row>
    <row r="131" spans="1:9" ht="27" customHeight="1" x14ac:dyDescent="0.2">
      <c r="A131" s="42"/>
      <c r="B131" s="43" t="s">
        <v>137</v>
      </c>
      <c r="C131" s="54"/>
      <c r="D131" s="54"/>
      <c r="E131" s="55"/>
      <c r="F131" s="54"/>
      <c r="G131" s="38">
        <f>G20+G36+G56</f>
        <v>6208046.0559999999</v>
      </c>
      <c r="H131" s="38">
        <f>H20+H36+H56</f>
        <v>6208335.5300000003</v>
      </c>
      <c r="I131" s="38">
        <f t="shared" si="8"/>
        <v>289.47400000039488</v>
      </c>
    </row>
    <row r="132" spans="1:9" ht="12.75" customHeight="1" x14ac:dyDescent="0.2">
      <c r="A132" s="42" t="s">
        <v>20</v>
      </c>
      <c r="B132" s="43" t="s">
        <v>22</v>
      </c>
      <c r="C132" s="54"/>
      <c r="D132" s="54"/>
      <c r="E132" s="55"/>
      <c r="F132" s="54"/>
      <c r="G132" s="38">
        <f>G21+G37-G99</f>
        <v>425070.52</v>
      </c>
      <c r="H132" s="38">
        <f>H21+H37-H99</f>
        <v>430319.52</v>
      </c>
      <c r="I132" s="38">
        <f t="shared" si="8"/>
        <v>5249</v>
      </c>
    </row>
    <row r="133" spans="1:9" ht="12.75" customHeight="1" x14ac:dyDescent="0.25">
      <c r="A133" s="42" t="s">
        <v>21</v>
      </c>
      <c r="B133" s="56" t="s">
        <v>37</v>
      </c>
      <c r="C133" s="54"/>
      <c r="D133" s="54"/>
      <c r="E133" s="55"/>
      <c r="F133" s="54"/>
      <c r="G133" s="38">
        <f t="shared" ref="G133:H136" si="11">G22+G38-G115</f>
        <v>-15390.429999999993</v>
      </c>
      <c r="H133" s="38">
        <f>H22+H38-H115</f>
        <v>-7981.429999999993</v>
      </c>
      <c r="I133" s="38">
        <f t="shared" si="8"/>
        <v>7409</v>
      </c>
    </row>
    <row r="134" spans="1:9" ht="12.75" customHeight="1" x14ac:dyDescent="0.25">
      <c r="A134" s="42" t="s">
        <v>23</v>
      </c>
      <c r="B134" s="56" t="s">
        <v>39</v>
      </c>
      <c r="C134" s="54"/>
      <c r="D134" s="54"/>
      <c r="E134" s="55"/>
      <c r="F134" s="54"/>
      <c r="G134" s="46">
        <f t="shared" si="11"/>
        <v>-42793</v>
      </c>
      <c r="H134" s="38">
        <f t="shared" si="11"/>
        <v>-42851</v>
      </c>
      <c r="I134" s="38">
        <f t="shared" si="8"/>
        <v>-58</v>
      </c>
    </row>
    <row r="135" spans="1:9" ht="12.75" customHeight="1" x14ac:dyDescent="0.25">
      <c r="A135" s="42" t="s">
        <v>25</v>
      </c>
      <c r="B135" s="56" t="s">
        <v>41</v>
      </c>
      <c r="C135" s="54"/>
      <c r="D135" s="54"/>
      <c r="E135" s="55"/>
      <c r="F135" s="54"/>
      <c r="G135" s="46">
        <f t="shared" si="11"/>
        <v>36</v>
      </c>
      <c r="H135" s="38">
        <f t="shared" si="11"/>
        <v>39</v>
      </c>
      <c r="I135" s="38">
        <f t="shared" si="8"/>
        <v>3</v>
      </c>
    </row>
    <row r="136" spans="1:9" ht="12.75" customHeight="1" x14ac:dyDescent="0.25">
      <c r="A136" s="42" t="s">
        <v>27</v>
      </c>
      <c r="B136" s="56" t="s">
        <v>43</v>
      </c>
      <c r="C136" s="54"/>
      <c r="D136" s="54"/>
      <c r="E136" s="55"/>
      <c r="F136" s="54"/>
      <c r="G136" s="46">
        <f t="shared" si="11"/>
        <v>56</v>
      </c>
      <c r="H136" s="38">
        <f t="shared" si="11"/>
        <v>72</v>
      </c>
      <c r="I136" s="38">
        <f t="shared" si="8"/>
        <v>16</v>
      </c>
    </row>
    <row r="137" spans="1:9" ht="12.75" customHeight="1" x14ac:dyDescent="0.2">
      <c r="A137" s="42" t="s">
        <v>29</v>
      </c>
      <c r="B137" s="43" t="s">
        <v>33</v>
      </c>
      <c r="C137" s="54"/>
      <c r="D137" s="54"/>
      <c r="E137" s="55"/>
      <c r="F137" s="54"/>
      <c r="G137" s="38">
        <f>G26+G42-G121</f>
        <v>3672</v>
      </c>
      <c r="H137" s="38">
        <f>H26+H42-H121</f>
        <v>3672</v>
      </c>
      <c r="I137" s="38">
        <f t="shared" si="8"/>
        <v>0</v>
      </c>
    </row>
    <row r="138" spans="1:9" ht="12.75" customHeight="1" x14ac:dyDescent="0.2">
      <c r="A138" s="42" t="s">
        <v>30</v>
      </c>
      <c r="B138" s="43" t="s">
        <v>35</v>
      </c>
      <c r="C138" s="54"/>
      <c r="D138" s="54"/>
      <c r="E138" s="55"/>
      <c r="F138" s="54"/>
      <c r="G138" s="38">
        <f>G27+G43-G122</f>
        <v>1507</v>
      </c>
      <c r="H138" s="38">
        <f>H27+H43-H122</f>
        <v>1679</v>
      </c>
      <c r="I138" s="38">
        <f t="shared" si="8"/>
        <v>172</v>
      </c>
    </row>
    <row r="139" spans="1:9" ht="12.75" customHeight="1" x14ac:dyDescent="0.2">
      <c r="A139" s="42" t="s">
        <v>32</v>
      </c>
      <c r="B139" s="43" t="s">
        <v>28</v>
      </c>
      <c r="C139" s="54"/>
      <c r="D139" s="54"/>
      <c r="E139" s="55"/>
      <c r="F139" s="54"/>
      <c r="G139" s="38">
        <f>G28+G44-G123-G124</f>
        <v>-162276</v>
      </c>
      <c r="H139" s="38">
        <f>H28+H44-H123-H124</f>
        <v>-238490</v>
      </c>
      <c r="I139" s="38">
        <f t="shared" si="8"/>
        <v>-76214</v>
      </c>
    </row>
    <row r="140" spans="1:9" ht="12.75" customHeight="1" x14ac:dyDescent="0.2">
      <c r="A140" s="42" t="s">
        <v>34</v>
      </c>
      <c r="B140" s="43" t="s">
        <v>26</v>
      </c>
      <c r="C140" s="54"/>
      <c r="D140" s="54"/>
      <c r="E140" s="55"/>
      <c r="F140" s="54"/>
      <c r="G140" s="38">
        <f>G29+G47-G125-G126</f>
        <v>612521</v>
      </c>
      <c r="H140" s="38">
        <f>H29+H47-H125-H126</f>
        <v>538589</v>
      </c>
      <c r="I140" s="38">
        <f t="shared" si="8"/>
        <v>-73932</v>
      </c>
    </row>
    <row r="141" spans="1:9" ht="12.75" customHeight="1" x14ac:dyDescent="0.2">
      <c r="A141" s="42" t="s">
        <v>36</v>
      </c>
      <c r="B141" s="43" t="s">
        <v>122</v>
      </c>
      <c r="C141" s="54"/>
      <c r="D141" s="54"/>
      <c r="E141" s="55"/>
      <c r="F141" s="54"/>
      <c r="G141" s="38">
        <f>G30+G50-G127</f>
        <v>-78791</v>
      </c>
      <c r="H141" s="38">
        <f>H30+H50-H127</f>
        <v>188343</v>
      </c>
      <c r="I141" s="38">
        <f t="shared" si="8"/>
        <v>267134</v>
      </c>
    </row>
    <row r="142" spans="1:9" ht="12.75" customHeight="1" x14ac:dyDescent="0.2">
      <c r="A142" s="42" t="s">
        <v>38</v>
      </c>
      <c r="B142" s="43" t="s">
        <v>31</v>
      </c>
      <c r="C142" s="54"/>
      <c r="D142" s="54"/>
      <c r="E142" s="55"/>
      <c r="F142" s="54"/>
      <c r="G142" s="38">
        <f>G31</f>
        <v>-9645</v>
      </c>
      <c r="H142" s="38">
        <f>H31</f>
        <v>-9645</v>
      </c>
      <c r="I142" s="38">
        <f t="shared" si="8"/>
        <v>0</v>
      </c>
    </row>
    <row r="143" spans="1:9" ht="12.75" customHeight="1" x14ac:dyDescent="0.2">
      <c r="A143" s="42" t="s">
        <v>40</v>
      </c>
      <c r="B143" s="43" t="s">
        <v>123</v>
      </c>
      <c r="C143" s="54"/>
      <c r="D143" s="54"/>
      <c r="E143" s="55"/>
      <c r="F143" s="54"/>
      <c r="G143" s="38">
        <f>G32</f>
        <v>21888</v>
      </c>
      <c r="H143" s="38">
        <f>H32</f>
        <v>21888</v>
      </c>
      <c r="I143" s="38">
        <f t="shared" si="8"/>
        <v>0</v>
      </c>
    </row>
    <row r="144" spans="1:9" ht="12.75" customHeight="1" x14ac:dyDescent="0.25">
      <c r="A144" s="42" t="s">
        <v>42</v>
      </c>
      <c r="B144" s="56" t="s">
        <v>62</v>
      </c>
      <c r="C144" s="54"/>
      <c r="D144" s="54"/>
      <c r="E144" s="55"/>
      <c r="F144" s="54"/>
      <c r="G144" s="46">
        <f>G33+G57</f>
        <v>123900</v>
      </c>
      <c r="H144" s="38">
        <f>H33+H57</f>
        <v>135900</v>
      </c>
      <c r="I144" s="38">
        <f t="shared" si="8"/>
        <v>12000</v>
      </c>
    </row>
  </sheetData>
  <mergeCells count="25">
    <mergeCell ref="H13:H14"/>
    <mergeCell ref="I13:I14"/>
    <mergeCell ref="A120:F120"/>
    <mergeCell ref="A123:A124"/>
    <mergeCell ref="A125:A126"/>
    <mergeCell ref="B128:F128"/>
    <mergeCell ref="F13:G14"/>
    <mergeCell ref="F15:F16"/>
    <mergeCell ref="G15:G16"/>
    <mergeCell ref="B17:D17"/>
    <mergeCell ref="A58:E58"/>
    <mergeCell ref="A34:E34"/>
    <mergeCell ref="D13:D16"/>
    <mergeCell ref="E13:E16"/>
    <mergeCell ref="A11:B11"/>
    <mergeCell ref="A12:B12"/>
    <mergeCell ref="A13:A16"/>
    <mergeCell ref="B13:B16"/>
    <mergeCell ref="C13:C16"/>
    <mergeCell ref="A10:B10"/>
    <mergeCell ref="A2:G2"/>
    <mergeCell ref="A4:G4"/>
    <mergeCell ref="A5:G5"/>
    <mergeCell ref="A7:G7"/>
    <mergeCell ref="A8:G8"/>
  </mergeCells>
  <pageMargins left="0.7" right="0.7" top="0.75" bottom="0.75" header="0.3" footer="0.3"/>
  <pageSetup paperSize="9" scale="48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opLeftCell="A103" workbookViewId="0">
      <selection activeCell="B144" sqref="B144"/>
    </sheetView>
  </sheetViews>
  <sheetFormatPr defaultRowHeight="15" x14ac:dyDescent="0.25"/>
  <cols>
    <col min="1" max="1" width="7.140625" style="1" customWidth="1"/>
    <col min="2" max="2" width="49.140625" style="2" customWidth="1"/>
    <col min="3" max="3" width="11.42578125" style="2" customWidth="1"/>
    <col min="4" max="4" width="10.140625" style="2" customWidth="1"/>
    <col min="5" max="5" width="8.7109375" style="28" customWidth="1"/>
    <col min="6" max="6" width="12" style="25" customWidth="1"/>
    <col min="7" max="7" width="15.7109375" style="25" customWidth="1"/>
    <col min="8" max="1015" width="9" customWidth="1"/>
  </cols>
  <sheetData>
    <row r="1" spans="1:7" ht="14.25" x14ac:dyDescent="0.2">
      <c r="A1" s="83" t="s">
        <v>0</v>
      </c>
      <c r="B1" s="83"/>
      <c r="C1" s="83"/>
      <c r="D1" s="83"/>
      <c r="E1" s="84"/>
      <c r="F1" s="84"/>
      <c r="G1" s="84"/>
    </row>
    <row r="2" spans="1:7" ht="14.25" x14ac:dyDescent="0.2">
      <c r="A2" s="143" t="s">
        <v>1</v>
      </c>
      <c r="B2" s="143"/>
      <c r="C2" s="143"/>
      <c r="D2" s="143"/>
      <c r="E2" s="143"/>
      <c r="F2" s="143"/>
      <c r="G2" s="143"/>
    </row>
    <row r="3" spans="1:7" x14ac:dyDescent="0.25">
      <c r="A3" s="4"/>
      <c r="B3" s="4"/>
      <c r="C3" s="5"/>
      <c r="D3" s="6"/>
      <c r="E3" s="27"/>
      <c r="G3" s="23"/>
    </row>
    <row r="4" spans="1:7" ht="14.25" x14ac:dyDescent="0.2">
      <c r="A4" s="143" t="s">
        <v>2</v>
      </c>
      <c r="B4" s="143"/>
      <c r="C4" s="143"/>
      <c r="D4" s="143"/>
      <c r="E4" s="143"/>
      <c r="F4" s="143"/>
      <c r="G4" s="143"/>
    </row>
    <row r="5" spans="1:7" ht="14.25" x14ac:dyDescent="0.2">
      <c r="A5" s="143" t="s">
        <v>3</v>
      </c>
      <c r="B5" s="143"/>
      <c r="C5" s="143"/>
      <c r="D5" s="143"/>
      <c r="E5" s="143"/>
      <c r="F5" s="143"/>
      <c r="G5" s="143"/>
    </row>
    <row r="6" spans="1:7" x14ac:dyDescent="0.25">
      <c r="A6" s="4"/>
      <c r="G6" s="23"/>
    </row>
    <row r="7" spans="1:7" ht="14.25" x14ac:dyDescent="0.2">
      <c r="A7" s="144" t="s">
        <v>126</v>
      </c>
      <c r="B7" s="144"/>
      <c r="C7" s="144"/>
      <c r="D7" s="144"/>
      <c r="E7" s="144"/>
      <c r="F7" s="144"/>
      <c r="G7" s="144"/>
    </row>
    <row r="8" spans="1:7" ht="14.25" x14ac:dyDescent="0.2">
      <c r="A8" s="144" t="s">
        <v>158</v>
      </c>
      <c r="B8" s="144"/>
      <c r="C8" s="144"/>
      <c r="D8" s="144"/>
      <c r="E8" s="144"/>
      <c r="F8" s="144"/>
      <c r="G8" s="144"/>
    </row>
    <row r="9" spans="1:7" x14ac:dyDescent="0.25">
      <c r="A9" s="4"/>
      <c r="B9" s="6"/>
      <c r="G9" s="23"/>
    </row>
    <row r="10" spans="1:7" ht="18" customHeight="1" x14ac:dyDescent="0.25">
      <c r="A10" s="142" t="s">
        <v>4</v>
      </c>
      <c r="B10" s="142"/>
      <c r="C10" s="7"/>
      <c r="D10" s="7"/>
      <c r="E10" s="29"/>
      <c r="F10" s="34">
        <v>12836.4</v>
      </c>
      <c r="G10" s="24" t="s">
        <v>5</v>
      </c>
    </row>
    <row r="11" spans="1:7" ht="12.75" customHeight="1" x14ac:dyDescent="0.25">
      <c r="A11" s="142" t="s">
        <v>6</v>
      </c>
      <c r="B11" s="142"/>
      <c r="C11" s="7"/>
      <c r="D11" s="7"/>
      <c r="E11" s="29"/>
      <c r="F11" s="35">
        <v>269</v>
      </c>
      <c r="G11" s="24" t="s">
        <v>7</v>
      </c>
    </row>
    <row r="12" spans="1:7" ht="12.75" customHeight="1" x14ac:dyDescent="0.25">
      <c r="A12" s="142" t="s">
        <v>8</v>
      </c>
      <c r="B12" s="142"/>
      <c r="C12" s="8"/>
      <c r="D12" s="8"/>
      <c r="E12" s="30"/>
      <c r="F12" s="24">
        <v>249</v>
      </c>
      <c r="G12" s="24" t="s">
        <v>9</v>
      </c>
    </row>
    <row r="13" spans="1:7" ht="12.75" customHeight="1" x14ac:dyDescent="0.2">
      <c r="A13" s="145" t="s">
        <v>10</v>
      </c>
      <c r="B13" s="146" t="s">
        <v>11</v>
      </c>
      <c r="C13" s="147" t="s">
        <v>12</v>
      </c>
      <c r="D13" s="147" t="s">
        <v>13</v>
      </c>
      <c r="E13" s="150" t="s">
        <v>14</v>
      </c>
      <c r="F13" s="147" t="s">
        <v>15</v>
      </c>
      <c r="G13" s="147"/>
    </row>
    <row r="14" spans="1:7" ht="12.75" customHeight="1" x14ac:dyDescent="0.2">
      <c r="A14" s="145"/>
      <c r="B14" s="146"/>
      <c r="C14" s="147"/>
      <c r="D14" s="147"/>
      <c r="E14" s="150"/>
      <c r="F14" s="147"/>
      <c r="G14" s="147"/>
    </row>
    <row r="15" spans="1:7" ht="12.75" customHeight="1" x14ac:dyDescent="0.2">
      <c r="A15" s="145"/>
      <c r="B15" s="146"/>
      <c r="C15" s="147"/>
      <c r="D15" s="147"/>
      <c r="E15" s="150"/>
      <c r="F15" s="147" t="s">
        <v>16</v>
      </c>
      <c r="G15" s="147" t="s">
        <v>17</v>
      </c>
    </row>
    <row r="16" spans="1:7" ht="12.75" customHeight="1" x14ac:dyDescent="0.2">
      <c r="A16" s="145"/>
      <c r="B16" s="146"/>
      <c r="C16" s="147"/>
      <c r="D16" s="147"/>
      <c r="E16" s="150"/>
      <c r="F16" s="147"/>
      <c r="G16" s="147"/>
    </row>
    <row r="17" spans="1:7" ht="12.75" customHeight="1" x14ac:dyDescent="0.2">
      <c r="A17" s="86"/>
      <c r="B17" s="148" t="s">
        <v>159</v>
      </c>
      <c r="C17" s="148"/>
      <c r="D17" s="148"/>
      <c r="E17" s="88"/>
      <c r="F17" s="38">
        <f t="shared" ref="F17:F32" si="0">G17/12</f>
        <v>598509.65818045137</v>
      </c>
      <c r="G17" s="40">
        <f>SUM(G18:G33)</f>
        <v>7182115.8981654169</v>
      </c>
    </row>
    <row r="18" spans="1:7" ht="15" customHeight="1" x14ac:dyDescent="0.2">
      <c r="A18" s="86" t="s">
        <v>18</v>
      </c>
      <c r="B18" s="43" t="s">
        <v>24</v>
      </c>
      <c r="C18" s="85"/>
      <c r="D18" s="85"/>
      <c r="E18" s="55"/>
      <c r="F18" s="38">
        <f>G18/12</f>
        <v>-16595.341819548583</v>
      </c>
      <c r="G18" s="38">
        <v>-199144.10183458301</v>
      </c>
    </row>
    <row r="19" spans="1:7" x14ac:dyDescent="0.2">
      <c r="A19" s="86" t="s">
        <v>19</v>
      </c>
      <c r="B19" s="43" t="s">
        <v>121</v>
      </c>
      <c r="C19" s="85"/>
      <c r="D19" s="85"/>
      <c r="E19" s="55"/>
      <c r="F19" s="38">
        <f t="shared" si="0"/>
        <v>12615.875</v>
      </c>
      <c r="G19" s="38">
        <v>151390.5</v>
      </c>
    </row>
    <row r="20" spans="1:7" x14ac:dyDescent="0.2">
      <c r="A20" s="86"/>
      <c r="B20" s="43" t="s">
        <v>160</v>
      </c>
      <c r="C20" s="85"/>
      <c r="D20" s="85"/>
      <c r="E20" s="55"/>
      <c r="F20" s="38">
        <f t="shared" si="0"/>
        <v>517361.33333333331</v>
      </c>
      <c r="G20" s="38">
        <v>6208336</v>
      </c>
    </row>
    <row r="21" spans="1:7" x14ac:dyDescent="0.2">
      <c r="A21" s="86" t="s">
        <v>20</v>
      </c>
      <c r="B21" s="43" t="s">
        <v>22</v>
      </c>
      <c r="C21" s="85"/>
      <c r="D21" s="85"/>
      <c r="E21" s="55"/>
      <c r="F21" s="38">
        <f t="shared" si="0"/>
        <v>35860</v>
      </c>
      <c r="G21" s="38">
        <v>430320</v>
      </c>
    </row>
    <row r="22" spans="1:7" x14ac:dyDescent="0.25">
      <c r="A22" s="86" t="s">
        <v>21</v>
      </c>
      <c r="B22" s="56" t="s">
        <v>37</v>
      </c>
      <c r="C22" s="85"/>
      <c r="D22" s="85"/>
      <c r="E22" s="55"/>
      <c r="F22" s="38">
        <f t="shared" si="0"/>
        <v>-665.08333333333337</v>
      </c>
      <c r="G22" s="38">
        <v>-7981</v>
      </c>
    </row>
    <row r="23" spans="1:7" x14ac:dyDescent="0.25">
      <c r="A23" s="86" t="s">
        <v>23</v>
      </c>
      <c r="B23" s="56" t="s">
        <v>39</v>
      </c>
      <c r="C23" s="85"/>
      <c r="D23" s="85"/>
      <c r="E23" s="55"/>
      <c r="F23" s="38">
        <f t="shared" si="0"/>
        <v>-3570.9166666666665</v>
      </c>
      <c r="G23" s="46">
        <f>-42851</f>
        <v>-42851</v>
      </c>
    </row>
    <row r="24" spans="1:7" x14ac:dyDescent="0.25">
      <c r="A24" s="86" t="s">
        <v>25</v>
      </c>
      <c r="B24" s="56" t="s">
        <v>41</v>
      </c>
      <c r="C24" s="85"/>
      <c r="D24" s="85"/>
      <c r="E24" s="55"/>
      <c r="F24" s="38">
        <f t="shared" si="0"/>
        <v>3.25</v>
      </c>
      <c r="G24" s="46">
        <v>39</v>
      </c>
    </row>
    <row r="25" spans="1:7" ht="22.5" customHeight="1" x14ac:dyDescent="0.25">
      <c r="A25" s="86" t="s">
        <v>27</v>
      </c>
      <c r="B25" s="56" t="s">
        <v>43</v>
      </c>
      <c r="C25" s="85"/>
      <c r="D25" s="85"/>
      <c r="E25" s="55"/>
      <c r="F25" s="38">
        <f t="shared" si="0"/>
        <v>6</v>
      </c>
      <c r="G25" s="46">
        <v>72</v>
      </c>
    </row>
    <row r="26" spans="1:7" ht="15" customHeight="1" x14ac:dyDescent="0.2">
      <c r="A26" s="86" t="s">
        <v>29</v>
      </c>
      <c r="B26" s="43" t="s">
        <v>33</v>
      </c>
      <c r="C26" s="85"/>
      <c r="D26" s="85"/>
      <c r="E26" s="55"/>
      <c r="F26" s="38">
        <f t="shared" si="0"/>
        <v>305.95833333333331</v>
      </c>
      <c r="G26" s="38">
        <v>3671.5</v>
      </c>
    </row>
    <row r="27" spans="1:7" ht="15" customHeight="1" x14ac:dyDescent="0.2">
      <c r="A27" s="86" t="s">
        <v>30</v>
      </c>
      <c r="B27" s="43" t="s">
        <v>35</v>
      </c>
      <c r="C27" s="85"/>
      <c r="D27" s="85"/>
      <c r="E27" s="55"/>
      <c r="F27" s="38">
        <f t="shared" si="0"/>
        <v>139.91666666666666</v>
      </c>
      <c r="G27" s="38">
        <v>1679</v>
      </c>
    </row>
    <row r="28" spans="1:7" ht="15" customHeight="1" x14ac:dyDescent="0.2">
      <c r="A28" s="86" t="s">
        <v>32</v>
      </c>
      <c r="B28" s="43" t="s">
        <v>28</v>
      </c>
      <c r="C28" s="85"/>
      <c r="D28" s="85"/>
      <c r="E28" s="55"/>
      <c r="F28" s="38">
        <f t="shared" si="0"/>
        <v>-19874.166666666668</v>
      </c>
      <c r="G28" s="38">
        <v>-238490</v>
      </c>
    </row>
    <row r="29" spans="1:7" ht="15" customHeight="1" x14ac:dyDescent="0.2">
      <c r="A29" s="86" t="s">
        <v>34</v>
      </c>
      <c r="B29" s="43" t="s">
        <v>26</v>
      </c>
      <c r="C29" s="85"/>
      <c r="D29" s="85"/>
      <c r="E29" s="55"/>
      <c r="F29" s="38">
        <f t="shared" si="0"/>
        <v>44882.375</v>
      </c>
      <c r="G29" s="38">
        <v>538588.5</v>
      </c>
    </row>
    <row r="30" spans="1:7" ht="15" customHeight="1" x14ac:dyDescent="0.2">
      <c r="A30" s="86" t="s">
        <v>36</v>
      </c>
      <c r="B30" s="43" t="s">
        <v>122</v>
      </c>
      <c r="C30" s="85"/>
      <c r="D30" s="85"/>
      <c r="E30" s="55"/>
      <c r="F30" s="38">
        <f t="shared" si="0"/>
        <v>15695.208333333334</v>
      </c>
      <c r="G30" s="38">
        <v>188342.5</v>
      </c>
    </row>
    <row r="31" spans="1:7" ht="15" customHeight="1" x14ac:dyDescent="0.2">
      <c r="A31" s="86" t="s">
        <v>38</v>
      </c>
      <c r="B31" s="43" t="s">
        <v>134</v>
      </c>
      <c r="C31" s="85"/>
      <c r="D31" s="85"/>
      <c r="E31" s="55"/>
      <c r="F31" s="38">
        <f t="shared" si="0"/>
        <v>-803.75</v>
      </c>
      <c r="G31" s="38">
        <v>-9645</v>
      </c>
    </row>
    <row r="32" spans="1:7" ht="30" customHeight="1" x14ac:dyDescent="0.2">
      <c r="A32" s="86" t="s">
        <v>40</v>
      </c>
      <c r="B32" s="43" t="s">
        <v>123</v>
      </c>
      <c r="C32" s="85"/>
      <c r="D32" s="85"/>
      <c r="E32" s="55"/>
      <c r="F32" s="38">
        <f t="shared" si="0"/>
        <v>1824</v>
      </c>
      <c r="G32" s="38">
        <v>21888</v>
      </c>
    </row>
    <row r="33" spans="1:7" ht="30" customHeight="1" x14ac:dyDescent="0.25">
      <c r="A33" s="86" t="s">
        <v>42</v>
      </c>
      <c r="B33" s="56" t="s">
        <v>62</v>
      </c>
      <c r="C33" s="85"/>
      <c r="D33" s="85"/>
      <c r="E33" s="55"/>
      <c r="F33" s="38">
        <f>G33/12</f>
        <v>11325</v>
      </c>
      <c r="G33" s="38">
        <v>135900</v>
      </c>
    </row>
    <row r="34" spans="1:7" ht="42" customHeight="1" x14ac:dyDescent="0.2">
      <c r="A34" s="149" t="s">
        <v>44</v>
      </c>
      <c r="B34" s="149"/>
      <c r="C34" s="149"/>
      <c r="D34" s="149"/>
      <c r="E34" s="149"/>
      <c r="F34" s="47">
        <f>SUM(F35:F57)</f>
        <v>1114026.54693743</v>
      </c>
      <c r="G34" s="47">
        <f>SUM(G35:G57)</f>
        <v>13551358.073273035</v>
      </c>
    </row>
    <row r="35" spans="1:7" x14ac:dyDescent="0.2">
      <c r="A35" s="86" t="s">
        <v>18</v>
      </c>
      <c r="B35" s="43" t="s">
        <v>45</v>
      </c>
      <c r="C35" s="57" t="s">
        <v>46</v>
      </c>
      <c r="D35" s="33">
        <v>12836.4</v>
      </c>
      <c r="E35" s="33"/>
      <c r="F35" s="31">
        <v>262630</v>
      </c>
      <c r="G35" s="31">
        <f>G59</f>
        <v>3402725.569273035</v>
      </c>
    </row>
    <row r="36" spans="1:7" x14ac:dyDescent="0.2">
      <c r="A36" s="86" t="s">
        <v>19</v>
      </c>
      <c r="B36" s="43" t="s">
        <v>161</v>
      </c>
      <c r="C36" s="57" t="s">
        <v>46</v>
      </c>
      <c r="D36" s="33">
        <v>12836.4</v>
      </c>
      <c r="E36" s="33">
        <v>8.0299999999999994</v>
      </c>
      <c r="F36" s="31">
        <f>D36*E36</f>
        <v>103076.29199999999</v>
      </c>
      <c r="G36" s="31">
        <f>F36*12</f>
        <v>1236915.5039999997</v>
      </c>
    </row>
    <row r="37" spans="1:7" x14ac:dyDescent="0.2">
      <c r="A37" s="86" t="s">
        <v>20</v>
      </c>
      <c r="B37" s="43" t="s">
        <v>22</v>
      </c>
      <c r="C37" s="57" t="s">
        <v>46</v>
      </c>
      <c r="D37" s="33">
        <v>12836.4</v>
      </c>
      <c r="E37" s="33"/>
      <c r="F37" s="31">
        <f>G37/12</f>
        <v>21974.166666666668</v>
      </c>
      <c r="G37" s="31">
        <f>G96</f>
        <v>263690</v>
      </c>
    </row>
    <row r="38" spans="1:7" x14ac:dyDescent="0.2">
      <c r="A38" s="86" t="s">
        <v>21</v>
      </c>
      <c r="B38" s="43" t="s">
        <v>37</v>
      </c>
      <c r="C38" s="57" t="s">
        <v>46</v>
      </c>
      <c r="D38" s="33"/>
      <c r="E38" s="33"/>
      <c r="F38" s="31">
        <f t="shared" ref="F38:F43" si="1">G38/12</f>
        <v>32797.833333333336</v>
      </c>
      <c r="G38" s="31">
        <f>G111</f>
        <v>393574</v>
      </c>
    </row>
    <row r="39" spans="1:7" x14ac:dyDescent="0.2">
      <c r="A39" s="86" t="s">
        <v>23</v>
      </c>
      <c r="B39" s="43" t="s">
        <v>39</v>
      </c>
      <c r="C39" s="57" t="s">
        <v>46</v>
      </c>
      <c r="D39" s="33">
        <v>12836.4</v>
      </c>
      <c r="E39" s="33"/>
      <c r="F39" s="31">
        <f>G39/12</f>
        <v>57854.166666666664</v>
      </c>
      <c r="G39" s="31">
        <f>G112</f>
        <v>694250</v>
      </c>
    </row>
    <row r="40" spans="1:7" x14ac:dyDescent="0.2">
      <c r="A40" s="86" t="s">
        <v>25</v>
      </c>
      <c r="B40" s="43" t="s">
        <v>41</v>
      </c>
      <c r="C40" s="57" t="s">
        <v>9</v>
      </c>
      <c r="D40" s="57">
        <v>225</v>
      </c>
      <c r="E40" s="33"/>
      <c r="F40" s="31">
        <f t="shared" si="1"/>
        <v>20360</v>
      </c>
      <c r="G40" s="31">
        <f>G113</f>
        <v>244320</v>
      </c>
    </row>
    <row r="41" spans="1:7" x14ac:dyDescent="0.2">
      <c r="A41" s="86" t="s">
        <v>27</v>
      </c>
      <c r="B41" s="58" t="s">
        <v>43</v>
      </c>
      <c r="C41" s="57" t="s">
        <v>9</v>
      </c>
      <c r="D41" s="57">
        <v>249</v>
      </c>
      <c r="E41" s="33"/>
      <c r="F41" s="31">
        <f t="shared" si="1"/>
        <v>9000</v>
      </c>
      <c r="G41" s="31">
        <f>G114</f>
        <v>108000</v>
      </c>
    </row>
    <row r="42" spans="1:7" s="45" customFormat="1" x14ac:dyDescent="0.2">
      <c r="A42" s="86" t="s">
        <v>29</v>
      </c>
      <c r="B42" s="43" t="s">
        <v>33</v>
      </c>
      <c r="C42" s="57" t="s">
        <v>47</v>
      </c>
      <c r="D42" s="33"/>
      <c r="E42" s="33"/>
      <c r="F42" s="31">
        <f t="shared" si="1"/>
        <v>105445.08333333333</v>
      </c>
      <c r="G42" s="31">
        <f>G117</f>
        <v>1265341</v>
      </c>
    </row>
    <row r="43" spans="1:7" s="45" customFormat="1" x14ac:dyDescent="0.2">
      <c r="A43" s="86" t="s">
        <v>30</v>
      </c>
      <c r="B43" s="43" t="s">
        <v>35</v>
      </c>
      <c r="C43" s="57" t="s">
        <v>47</v>
      </c>
      <c r="D43" s="38"/>
      <c r="E43" s="33"/>
      <c r="F43" s="31">
        <f t="shared" si="1"/>
        <v>19744.583333333332</v>
      </c>
      <c r="G43" s="31">
        <f>G118</f>
        <v>236935</v>
      </c>
    </row>
    <row r="44" spans="1:7" s="45" customFormat="1" x14ac:dyDescent="0.2">
      <c r="A44" s="86" t="s">
        <v>32</v>
      </c>
      <c r="B44" s="43" t="s">
        <v>48</v>
      </c>
      <c r="C44" s="57"/>
      <c r="D44" s="33"/>
      <c r="E44" s="33"/>
      <c r="F44" s="44">
        <f>F45+F46</f>
        <v>53818.5</v>
      </c>
      <c r="G44" s="31">
        <f>G45+G46</f>
        <v>645822</v>
      </c>
    </row>
    <row r="45" spans="1:7" s="45" customFormat="1" x14ac:dyDescent="0.2">
      <c r="A45" s="86"/>
      <c r="B45" s="43" t="s">
        <v>49</v>
      </c>
      <c r="C45" s="57" t="s">
        <v>50</v>
      </c>
      <c r="D45" s="33"/>
      <c r="E45" s="33"/>
      <c r="F45" s="31">
        <f>G45/12</f>
        <v>22336.333333333332</v>
      </c>
      <c r="G45" s="31">
        <f>G119</f>
        <v>268036</v>
      </c>
    </row>
    <row r="46" spans="1:7" s="45" customFormat="1" x14ac:dyDescent="0.2">
      <c r="A46" s="86"/>
      <c r="B46" s="43" t="s">
        <v>48</v>
      </c>
      <c r="C46" s="57" t="s">
        <v>50</v>
      </c>
      <c r="D46" s="33"/>
      <c r="E46" s="33"/>
      <c r="F46" s="31">
        <f>G46/12</f>
        <v>31482.166666666668</v>
      </c>
      <c r="G46" s="31">
        <f>G120</f>
        <v>377786</v>
      </c>
    </row>
    <row r="47" spans="1:7" s="45" customFormat="1" x14ac:dyDescent="0.2">
      <c r="A47" s="86" t="s">
        <v>34</v>
      </c>
      <c r="B47" s="43" t="s">
        <v>52</v>
      </c>
      <c r="C47" s="57"/>
      <c r="D47" s="33"/>
      <c r="E47" s="33"/>
      <c r="F47" s="44">
        <f>F48+F49</f>
        <v>102373.08333333333</v>
      </c>
      <c r="G47" s="31">
        <f>G48+G49</f>
        <v>1228477</v>
      </c>
    </row>
    <row r="48" spans="1:7" s="45" customFormat="1" x14ac:dyDescent="0.2">
      <c r="A48" s="86"/>
      <c r="B48" s="43" t="s">
        <v>51</v>
      </c>
      <c r="C48" s="57" t="s">
        <v>50</v>
      </c>
      <c r="D48" s="33"/>
      <c r="E48" s="33"/>
      <c r="F48" s="31">
        <f>G48/12</f>
        <v>13332.333333333334</v>
      </c>
      <c r="G48" s="31">
        <f>G122</f>
        <v>159988</v>
      </c>
    </row>
    <row r="49" spans="1:7" s="45" customFormat="1" x14ac:dyDescent="0.2">
      <c r="A49" s="86"/>
      <c r="B49" s="43" t="s">
        <v>52</v>
      </c>
      <c r="C49" s="57" t="s">
        <v>50</v>
      </c>
      <c r="D49" s="33"/>
      <c r="E49" s="33"/>
      <c r="F49" s="31">
        <f>F121</f>
        <v>89040.75</v>
      </c>
      <c r="G49" s="31">
        <f>G121</f>
        <v>1068489</v>
      </c>
    </row>
    <row r="50" spans="1:7" s="45" customFormat="1" x14ac:dyDescent="0.2">
      <c r="A50" s="86" t="s">
        <v>36</v>
      </c>
      <c r="B50" s="43" t="s">
        <v>53</v>
      </c>
      <c r="C50" s="57" t="s">
        <v>54</v>
      </c>
      <c r="D50" s="33"/>
      <c r="E50" s="59">
        <v>11.02</v>
      </c>
      <c r="F50" s="31">
        <f>G50/12</f>
        <v>130248.33333333333</v>
      </c>
      <c r="G50" s="31">
        <f>G123</f>
        <v>1562980</v>
      </c>
    </row>
    <row r="51" spans="1:7" x14ac:dyDescent="0.2">
      <c r="A51" s="86" t="s">
        <v>38</v>
      </c>
      <c r="B51" s="43" t="s">
        <v>55</v>
      </c>
      <c r="C51" s="57" t="s">
        <v>56</v>
      </c>
      <c r="D51" s="57"/>
      <c r="E51" s="60">
        <v>2.6</v>
      </c>
      <c r="F51" s="31">
        <v>29322.338270763412</v>
      </c>
      <c r="G51" s="31">
        <v>283742</v>
      </c>
    </row>
    <row r="52" spans="1:7" ht="30" x14ac:dyDescent="0.2">
      <c r="A52" s="86" t="s">
        <v>40</v>
      </c>
      <c r="B52" s="43" t="s">
        <v>123</v>
      </c>
      <c r="C52" s="57" t="s">
        <v>65</v>
      </c>
      <c r="D52" s="38"/>
      <c r="E52" s="38" t="s">
        <v>142</v>
      </c>
      <c r="F52" s="31">
        <f t="shared" ref="F52:F57" si="2">G52/12</f>
        <v>833.33333333333337</v>
      </c>
      <c r="G52" s="31">
        <v>10000</v>
      </c>
    </row>
    <row r="53" spans="1:7" x14ac:dyDescent="0.2">
      <c r="A53" s="86" t="s">
        <v>42</v>
      </c>
      <c r="B53" s="43" t="s">
        <v>58</v>
      </c>
      <c r="C53" s="57" t="s">
        <v>65</v>
      </c>
      <c r="D53" s="57">
        <v>1</v>
      </c>
      <c r="E53" s="57">
        <v>50</v>
      </c>
      <c r="F53" s="31">
        <f t="shared" si="2"/>
        <v>0</v>
      </c>
      <c r="G53" s="31">
        <v>0</v>
      </c>
    </row>
    <row r="54" spans="1:7" x14ac:dyDescent="0.2">
      <c r="A54" s="86" t="s">
        <v>57</v>
      </c>
      <c r="B54" s="43" t="s">
        <v>61</v>
      </c>
      <c r="C54" s="57" t="s">
        <v>65</v>
      </c>
      <c r="D54" s="57">
        <v>1</v>
      </c>
      <c r="E54" s="57">
        <v>50</v>
      </c>
      <c r="F54" s="31">
        <f t="shared" si="2"/>
        <v>125</v>
      </c>
      <c r="G54" s="31">
        <v>1500</v>
      </c>
    </row>
    <row r="55" spans="1:7" ht="30" customHeight="1" x14ac:dyDescent="0.2">
      <c r="A55" s="86" t="s">
        <v>59</v>
      </c>
      <c r="B55" s="43" t="s">
        <v>124</v>
      </c>
      <c r="C55" s="57" t="s">
        <v>65</v>
      </c>
      <c r="D55" s="57">
        <v>5.99</v>
      </c>
      <c r="E55" s="33"/>
      <c r="F55" s="31">
        <f t="shared" si="2"/>
        <v>835.66666666666663</v>
      </c>
      <c r="G55" s="31">
        <v>10028</v>
      </c>
    </row>
    <row r="56" spans="1:7" ht="30" customHeight="1" x14ac:dyDescent="0.2">
      <c r="A56" s="86"/>
      <c r="B56" s="43" t="s">
        <v>162</v>
      </c>
      <c r="C56" s="57" t="s">
        <v>65</v>
      </c>
      <c r="D56" s="57"/>
      <c r="E56" s="33"/>
      <c r="F56" s="31">
        <f t="shared" si="2"/>
        <v>2446.5833333333335</v>
      </c>
      <c r="G56" s="31">
        <v>29359</v>
      </c>
    </row>
    <row r="57" spans="1:7" ht="30" x14ac:dyDescent="0.2">
      <c r="A57" s="86" t="s">
        <v>60</v>
      </c>
      <c r="B57" s="43" t="s">
        <v>163</v>
      </c>
      <c r="C57" s="57" t="s">
        <v>63</v>
      </c>
      <c r="D57" s="38">
        <v>3</v>
      </c>
      <c r="E57" s="38"/>
      <c r="F57" s="31">
        <f t="shared" si="2"/>
        <v>4950</v>
      </c>
      <c r="G57" s="31">
        <v>59400</v>
      </c>
    </row>
    <row r="58" spans="1:7" ht="23.25" customHeight="1" x14ac:dyDescent="0.2">
      <c r="A58" s="145" t="s">
        <v>64</v>
      </c>
      <c r="B58" s="145"/>
      <c r="C58" s="145"/>
      <c r="D58" s="145"/>
      <c r="E58" s="145"/>
      <c r="F58" s="36">
        <f>F59+F94+F96+F111+F112+F113+F114+F115+F117+F118+F119+F120+F121+F122+F123</f>
        <v>847318.08827076352</v>
      </c>
      <c r="G58" s="36">
        <f>G59+G94+G96+G111+G112+G113+G114+G115+G117+G118+G119+G120+G121+G122+G123</f>
        <v>10329856.569273036</v>
      </c>
    </row>
    <row r="59" spans="1:7" ht="14.25" x14ac:dyDescent="0.2">
      <c r="A59" s="86">
        <v>1</v>
      </c>
      <c r="B59" s="87" t="s">
        <v>45</v>
      </c>
      <c r="C59" s="62" t="s">
        <v>65</v>
      </c>
      <c r="D59" s="85"/>
      <c r="E59" s="55"/>
      <c r="F59" s="40">
        <v>262630</v>
      </c>
      <c r="G59" s="40">
        <f>G60+G61+G69+G72+G73+G77+G86+G89</f>
        <v>3402725.569273035</v>
      </c>
    </row>
    <row r="60" spans="1:7" x14ac:dyDescent="0.2">
      <c r="A60" s="86" t="s">
        <v>66</v>
      </c>
      <c r="B60" s="58" t="s">
        <v>204</v>
      </c>
      <c r="C60" s="31" t="s">
        <v>63</v>
      </c>
      <c r="D60" s="38"/>
      <c r="E60" s="33"/>
      <c r="F60" s="38">
        <f>G60/12</f>
        <v>9636.0833333333339</v>
      </c>
      <c r="G60" s="40">
        <v>115633</v>
      </c>
    </row>
    <row r="61" spans="1:7" ht="14.25" x14ac:dyDescent="0.2">
      <c r="A61" s="86" t="s">
        <v>67</v>
      </c>
      <c r="B61" s="87" t="s">
        <v>68</v>
      </c>
      <c r="C61" s="36"/>
      <c r="D61" s="40"/>
      <c r="E61" s="55"/>
      <c r="F61" s="40">
        <f>F62+F63+F64+F65+F66+F67+F68</f>
        <v>7559.166666666667</v>
      </c>
      <c r="G61" s="40">
        <f>G62+G63+G64+G65+G66+G67+G68</f>
        <v>90710</v>
      </c>
    </row>
    <row r="62" spans="1:7" x14ac:dyDescent="0.2">
      <c r="A62" s="63"/>
      <c r="B62" s="58" t="s">
        <v>69</v>
      </c>
      <c r="C62" s="31" t="s">
        <v>63</v>
      </c>
      <c r="D62" s="38"/>
      <c r="E62" s="33"/>
      <c r="F62" s="38">
        <f>G62/12</f>
        <v>1333.3333333333333</v>
      </c>
      <c r="G62" s="38">
        <v>16000</v>
      </c>
    </row>
    <row r="63" spans="1:7" x14ac:dyDescent="0.2">
      <c r="A63" s="63"/>
      <c r="B63" s="58" t="s">
        <v>70</v>
      </c>
      <c r="C63" s="31" t="s">
        <v>63</v>
      </c>
      <c r="D63" s="38"/>
      <c r="E63" s="38"/>
      <c r="F63" s="38">
        <f t="shared" ref="F63:F68" si="3">G63/12</f>
        <v>533.33333333333337</v>
      </c>
      <c r="G63" s="38">
        <v>6400</v>
      </c>
    </row>
    <row r="64" spans="1:7" x14ac:dyDescent="0.2">
      <c r="A64" s="63"/>
      <c r="B64" s="58" t="s">
        <v>71</v>
      </c>
      <c r="C64" s="31" t="s">
        <v>63</v>
      </c>
      <c r="D64" s="38"/>
      <c r="E64" s="38"/>
      <c r="F64" s="38">
        <f t="shared" si="3"/>
        <v>333.33333333333331</v>
      </c>
      <c r="G64" s="38">
        <v>4000</v>
      </c>
    </row>
    <row r="65" spans="1:7" x14ac:dyDescent="0.2">
      <c r="A65" s="63"/>
      <c r="B65" s="58" t="s">
        <v>72</v>
      </c>
      <c r="C65" s="31" t="s">
        <v>63</v>
      </c>
      <c r="D65" s="38"/>
      <c r="E65" s="38"/>
      <c r="F65" s="38">
        <f t="shared" si="3"/>
        <v>2163.3333333333335</v>
      </c>
      <c r="G65" s="38">
        <v>25960</v>
      </c>
    </row>
    <row r="66" spans="1:7" ht="19.5" customHeight="1" x14ac:dyDescent="0.2">
      <c r="A66" s="63"/>
      <c r="B66" s="58" t="s">
        <v>144</v>
      </c>
      <c r="C66" s="31" t="s">
        <v>65</v>
      </c>
      <c r="D66" s="38">
        <v>2</v>
      </c>
      <c r="E66" s="33"/>
      <c r="F66" s="38">
        <v>800</v>
      </c>
      <c r="G66" s="38">
        <v>9600</v>
      </c>
    </row>
    <row r="67" spans="1:7" x14ac:dyDescent="0.2">
      <c r="A67" s="63"/>
      <c r="B67" s="58" t="s">
        <v>73</v>
      </c>
      <c r="C67" s="31" t="s">
        <v>63</v>
      </c>
      <c r="D67" s="38"/>
      <c r="E67" s="38"/>
      <c r="F67" s="38">
        <f t="shared" si="3"/>
        <v>787.5</v>
      </c>
      <c r="G67" s="38">
        <v>9450</v>
      </c>
    </row>
    <row r="68" spans="1:7" x14ac:dyDescent="0.2">
      <c r="A68" s="63"/>
      <c r="B68" s="58" t="s">
        <v>136</v>
      </c>
      <c r="C68" s="31" t="s">
        <v>65</v>
      </c>
      <c r="D68" s="38"/>
      <c r="E68" s="38"/>
      <c r="F68" s="38">
        <f t="shared" si="3"/>
        <v>1608.3333333333333</v>
      </c>
      <c r="G68" s="38">
        <v>19300</v>
      </c>
    </row>
    <row r="69" spans="1:7" x14ac:dyDescent="0.2">
      <c r="A69" s="86" t="s">
        <v>74</v>
      </c>
      <c r="B69" s="87" t="s">
        <v>75</v>
      </c>
      <c r="C69" s="36"/>
      <c r="D69" s="40"/>
      <c r="E69" s="38"/>
      <c r="F69" s="40">
        <f>F70+F71</f>
        <v>1155.5999999999999</v>
      </c>
      <c r="G69" s="40">
        <f>G70+G71</f>
        <v>13867.2</v>
      </c>
    </row>
    <row r="70" spans="1:7" x14ac:dyDescent="0.2">
      <c r="A70" s="63"/>
      <c r="B70" s="58" t="s">
        <v>76</v>
      </c>
      <c r="C70" s="31" t="s">
        <v>77</v>
      </c>
      <c r="D70" s="38"/>
      <c r="E70" s="38"/>
      <c r="F70" s="38">
        <f>315.6</f>
        <v>315.60000000000002</v>
      </c>
      <c r="G70" s="38">
        <f>F70*12</f>
        <v>3787.2000000000003</v>
      </c>
    </row>
    <row r="71" spans="1:7" x14ac:dyDescent="0.2">
      <c r="A71" s="63"/>
      <c r="B71" s="58" t="s">
        <v>78</v>
      </c>
      <c r="C71" s="31" t="s">
        <v>77</v>
      </c>
      <c r="D71" s="38"/>
      <c r="E71" s="38"/>
      <c r="F71" s="38">
        <f>440+300+100</f>
        <v>840</v>
      </c>
      <c r="G71" s="38">
        <f>F71*12</f>
        <v>10080</v>
      </c>
    </row>
    <row r="72" spans="1:7" x14ac:dyDescent="0.2">
      <c r="A72" s="86" t="s">
        <v>79</v>
      </c>
      <c r="B72" s="87" t="s">
        <v>80</v>
      </c>
      <c r="C72" s="36" t="s">
        <v>77</v>
      </c>
      <c r="D72" s="40"/>
      <c r="E72" s="38"/>
      <c r="F72" s="40">
        <f t="shared" ref="F72:F76" si="4">G72/12</f>
        <v>2255</v>
      </c>
      <c r="G72" s="40">
        <v>27060</v>
      </c>
    </row>
    <row r="73" spans="1:7" x14ac:dyDescent="0.2">
      <c r="A73" s="86" t="s">
        <v>81</v>
      </c>
      <c r="B73" s="87" t="s">
        <v>82</v>
      </c>
      <c r="C73" s="36"/>
      <c r="D73" s="40"/>
      <c r="E73" s="38"/>
      <c r="F73" s="40">
        <f>F74+F75+F76</f>
        <v>995.83333333333337</v>
      </c>
      <c r="G73" s="40">
        <f>G74+G75+G76</f>
        <v>11950</v>
      </c>
    </row>
    <row r="74" spans="1:7" x14ac:dyDescent="0.2">
      <c r="A74" s="63"/>
      <c r="B74" s="58" t="s">
        <v>83</v>
      </c>
      <c r="C74" s="31" t="s">
        <v>63</v>
      </c>
      <c r="D74" s="38"/>
      <c r="E74" s="38"/>
      <c r="F74" s="38">
        <f>G74/12</f>
        <v>970.83333333333337</v>
      </c>
      <c r="G74" s="38">
        <v>11650</v>
      </c>
    </row>
    <row r="75" spans="1:7" x14ac:dyDescent="0.2">
      <c r="A75" s="63"/>
      <c r="B75" s="58" t="s">
        <v>84</v>
      </c>
      <c r="C75" s="31" t="s">
        <v>63</v>
      </c>
      <c r="D75" s="38"/>
      <c r="E75" s="38"/>
      <c r="F75" s="38">
        <f>G75/12</f>
        <v>25</v>
      </c>
      <c r="G75" s="38">
        <v>300</v>
      </c>
    </row>
    <row r="76" spans="1:7" x14ac:dyDescent="0.2">
      <c r="A76" s="63"/>
      <c r="B76" s="58" t="s">
        <v>85</v>
      </c>
      <c r="C76" s="31" t="s">
        <v>63</v>
      </c>
      <c r="D76" s="38"/>
      <c r="E76" s="38"/>
      <c r="F76" s="38">
        <f t="shared" si="4"/>
        <v>0</v>
      </c>
      <c r="G76" s="38">
        <v>0</v>
      </c>
    </row>
    <row r="77" spans="1:7" x14ac:dyDescent="0.2">
      <c r="A77" s="86" t="s">
        <v>86</v>
      </c>
      <c r="B77" s="87" t="s">
        <v>87</v>
      </c>
      <c r="C77" s="36"/>
      <c r="D77" s="40"/>
      <c r="E77" s="38"/>
      <c r="F77" s="40">
        <f>F78+F79+F80+F81+F82+F83+F84+F85</f>
        <v>11120.833333333334</v>
      </c>
      <c r="G77" s="40">
        <f>G78+G79+G80+G81+G82+G83+G84+G85</f>
        <v>133450</v>
      </c>
    </row>
    <row r="78" spans="1:7" ht="30" customHeight="1" x14ac:dyDescent="0.2">
      <c r="A78" s="63"/>
      <c r="B78" s="58" t="s">
        <v>131</v>
      </c>
      <c r="C78" s="31" t="s">
        <v>9</v>
      </c>
      <c r="D78" s="38"/>
      <c r="E78" s="38"/>
      <c r="F78" s="38">
        <f>G78/12</f>
        <v>1750</v>
      </c>
      <c r="G78" s="38">
        <v>21000</v>
      </c>
    </row>
    <row r="79" spans="1:7" x14ac:dyDescent="0.2">
      <c r="A79" s="63"/>
      <c r="B79" s="58" t="s">
        <v>132</v>
      </c>
      <c r="C79" s="31" t="s">
        <v>9</v>
      </c>
      <c r="D79" s="38" t="s">
        <v>128</v>
      </c>
      <c r="E79" s="38"/>
      <c r="F79" s="38">
        <f>G79/12</f>
        <v>2041.6666666666667</v>
      </c>
      <c r="G79" s="38">
        <v>24500</v>
      </c>
    </row>
    <row r="80" spans="1:7" ht="21" customHeight="1" x14ac:dyDescent="0.2">
      <c r="A80" s="63"/>
      <c r="B80" s="58" t="s">
        <v>88</v>
      </c>
      <c r="C80" s="31" t="s">
        <v>9</v>
      </c>
      <c r="D80" s="38"/>
      <c r="E80" s="38"/>
      <c r="F80" s="38">
        <f t="shared" ref="F80:F88" si="5">G80/12</f>
        <v>666.66666666666663</v>
      </c>
      <c r="G80" s="38">
        <v>8000</v>
      </c>
    </row>
    <row r="81" spans="1:7" ht="26.25" customHeight="1" x14ac:dyDescent="0.2">
      <c r="A81" s="63"/>
      <c r="B81" s="58" t="s">
        <v>89</v>
      </c>
      <c r="C81" s="31" t="s">
        <v>63</v>
      </c>
      <c r="D81" s="38"/>
      <c r="E81" s="38"/>
      <c r="F81" s="38">
        <f t="shared" si="5"/>
        <v>337.5</v>
      </c>
      <c r="G81" s="38">
        <v>4050</v>
      </c>
    </row>
    <row r="82" spans="1:7" x14ac:dyDescent="0.2">
      <c r="A82" s="63"/>
      <c r="B82" s="58" t="s">
        <v>90</v>
      </c>
      <c r="C82" s="31" t="s">
        <v>63</v>
      </c>
      <c r="D82" s="38"/>
      <c r="E82" s="38"/>
      <c r="F82" s="38">
        <f t="shared" si="5"/>
        <v>1041.6666666666667</v>
      </c>
      <c r="G82" s="38">
        <v>12500</v>
      </c>
    </row>
    <row r="83" spans="1:7" x14ac:dyDescent="0.2">
      <c r="A83" s="63"/>
      <c r="B83" s="58" t="s">
        <v>91</v>
      </c>
      <c r="C83" s="31"/>
      <c r="D83" s="38"/>
      <c r="E83" s="38"/>
      <c r="F83" s="38">
        <f>G83/12</f>
        <v>350</v>
      </c>
      <c r="G83" s="38">
        <v>4200</v>
      </c>
    </row>
    <row r="84" spans="1:7" x14ac:dyDescent="0.2">
      <c r="A84" s="63"/>
      <c r="B84" s="58" t="s">
        <v>148</v>
      </c>
      <c r="C84" s="31"/>
      <c r="D84" s="38"/>
      <c r="E84" s="38"/>
      <c r="F84" s="38">
        <f>G84/12</f>
        <v>833.33333333333337</v>
      </c>
      <c r="G84" s="38">
        <v>10000</v>
      </c>
    </row>
    <row r="85" spans="1:7" x14ac:dyDescent="0.2">
      <c r="A85" s="63"/>
      <c r="B85" s="58" t="s">
        <v>117</v>
      </c>
      <c r="C85" s="31"/>
      <c r="D85" s="38"/>
      <c r="E85" s="38"/>
      <c r="F85" s="38">
        <f>G85/12</f>
        <v>4100</v>
      </c>
      <c r="G85" s="38">
        <v>49200</v>
      </c>
    </row>
    <row r="86" spans="1:7" x14ac:dyDescent="0.2">
      <c r="A86" s="86" t="s">
        <v>92</v>
      </c>
      <c r="B86" s="87" t="s">
        <v>93</v>
      </c>
      <c r="C86" s="36"/>
      <c r="D86" s="40"/>
      <c r="E86" s="33"/>
      <c r="F86" s="48">
        <f>F87+F88</f>
        <v>20000</v>
      </c>
      <c r="G86" s="48">
        <f>G87+G88</f>
        <v>240000</v>
      </c>
    </row>
    <row r="87" spans="1:7" x14ac:dyDescent="0.2">
      <c r="A87" s="63" t="s">
        <v>94</v>
      </c>
      <c r="B87" s="58" t="s">
        <v>95</v>
      </c>
      <c r="C87" s="31" t="s">
        <v>63</v>
      </c>
      <c r="D87" s="40"/>
      <c r="E87" s="33"/>
      <c r="F87" s="38">
        <f t="shared" si="5"/>
        <v>20000</v>
      </c>
      <c r="G87" s="38">
        <v>240000</v>
      </c>
    </row>
    <row r="88" spans="1:7" x14ac:dyDescent="0.2">
      <c r="A88" s="63" t="s">
        <v>96</v>
      </c>
      <c r="B88" s="58" t="s">
        <v>97</v>
      </c>
      <c r="C88" s="31" t="s">
        <v>63</v>
      </c>
      <c r="D88" s="40"/>
      <c r="E88" s="33"/>
      <c r="F88" s="38">
        <f t="shared" si="5"/>
        <v>0</v>
      </c>
      <c r="G88" s="38">
        <v>0</v>
      </c>
    </row>
    <row r="89" spans="1:7" x14ac:dyDescent="0.2">
      <c r="A89" s="86" t="s">
        <v>98</v>
      </c>
      <c r="B89" s="87" t="s">
        <v>99</v>
      </c>
      <c r="C89" s="36"/>
      <c r="D89" s="40"/>
      <c r="E89" s="33"/>
      <c r="F89" s="40">
        <f>F90+F91+F92+F93</f>
        <v>230837.9474394196</v>
      </c>
      <c r="G89" s="40">
        <f>G90+G91+G92+G93</f>
        <v>2770055.3692730353</v>
      </c>
    </row>
    <row r="90" spans="1:7" ht="30" x14ac:dyDescent="0.2">
      <c r="A90" s="65" t="s">
        <v>100</v>
      </c>
      <c r="B90" s="58" t="s">
        <v>101</v>
      </c>
      <c r="C90" s="31"/>
      <c r="D90" s="38"/>
      <c r="E90" s="33"/>
      <c r="F90" s="38">
        <f>G90/12</f>
        <v>158068.70688666668</v>
      </c>
      <c r="G90" s="38">
        <v>1896824.4826400001</v>
      </c>
    </row>
    <row r="91" spans="1:7" x14ac:dyDescent="0.2">
      <c r="A91" s="65" t="s">
        <v>102</v>
      </c>
      <c r="B91" s="58" t="s">
        <v>129</v>
      </c>
      <c r="C91" s="66"/>
      <c r="D91" s="67">
        <v>0.30199999999999999</v>
      </c>
      <c r="E91" s="33"/>
      <c r="F91" s="38">
        <f>(F92+F93+F90)/100*30.2</f>
        <v>53543.056932952939</v>
      </c>
      <c r="G91" s="38">
        <f>F91*12</f>
        <v>642516.68319543521</v>
      </c>
    </row>
    <row r="92" spans="1:7" x14ac:dyDescent="0.2">
      <c r="A92" s="65" t="s">
        <v>103</v>
      </c>
      <c r="B92" s="58" t="s">
        <v>130</v>
      </c>
      <c r="C92" s="31"/>
      <c r="D92" s="38"/>
      <c r="E92" s="33"/>
      <c r="F92" s="38">
        <f>F90/100*9</f>
        <v>14226.183619800002</v>
      </c>
      <c r="G92" s="38">
        <f>F92*12</f>
        <v>170714.20343760002</v>
      </c>
    </row>
    <row r="93" spans="1:7" x14ac:dyDescent="0.2">
      <c r="A93" s="65" t="s">
        <v>104</v>
      </c>
      <c r="B93" s="58" t="s">
        <v>105</v>
      </c>
      <c r="C93" s="31"/>
      <c r="D93" s="38"/>
      <c r="E93" s="33"/>
      <c r="F93" s="38">
        <f>G93/12</f>
        <v>5000</v>
      </c>
      <c r="G93" s="38">
        <v>60000</v>
      </c>
    </row>
    <row r="94" spans="1:7" x14ac:dyDescent="0.2">
      <c r="A94" s="86" t="s">
        <v>19</v>
      </c>
      <c r="B94" s="87" t="s">
        <v>107</v>
      </c>
      <c r="C94" s="36"/>
      <c r="D94" s="40"/>
      <c r="E94" s="33"/>
      <c r="F94" s="38">
        <v>0</v>
      </c>
      <c r="G94" s="38">
        <f>G95</f>
        <v>0</v>
      </c>
    </row>
    <row r="95" spans="1:7" x14ac:dyDescent="0.2">
      <c r="A95" s="86"/>
      <c r="B95" s="58" t="s">
        <v>151</v>
      </c>
      <c r="C95" s="36"/>
      <c r="D95" s="40"/>
      <c r="E95" s="33"/>
      <c r="F95" s="38">
        <v>0</v>
      </c>
      <c r="G95" s="38">
        <v>0</v>
      </c>
    </row>
    <row r="96" spans="1:7" x14ac:dyDescent="0.2">
      <c r="A96" s="86" t="s">
        <v>20</v>
      </c>
      <c r="B96" s="87" t="s">
        <v>22</v>
      </c>
      <c r="C96" s="36"/>
      <c r="D96" s="40"/>
      <c r="E96" s="33"/>
      <c r="F96" s="40">
        <f>F97+F98+F99+F100+F101+F102+F103+F104+F105+F106+F107+F108+F109+F110</f>
        <v>23724.166666666664</v>
      </c>
      <c r="G96" s="40">
        <f>G97+G98+G99+G100+G101+G102+G103+G104+G105+G106+G107+G108+G109+G110</f>
        <v>263690</v>
      </c>
    </row>
    <row r="97" spans="1:7" x14ac:dyDescent="0.2">
      <c r="A97" s="86"/>
      <c r="B97" s="68" t="s">
        <v>108</v>
      </c>
      <c r="C97" s="31" t="s">
        <v>113</v>
      </c>
      <c r="D97" s="38">
        <v>7</v>
      </c>
      <c r="E97" s="38">
        <v>5000</v>
      </c>
      <c r="F97" s="37">
        <f>G97/12</f>
        <v>2916.6666666666665</v>
      </c>
      <c r="G97" s="38">
        <f>D97*E97</f>
        <v>35000</v>
      </c>
    </row>
    <row r="98" spans="1:7" x14ac:dyDescent="0.2">
      <c r="A98" s="86"/>
      <c r="B98" s="68" t="s">
        <v>109</v>
      </c>
      <c r="C98" s="31" t="s">
        <v>113</v>
      </c>
      <c r="D98" s="38">
        <v>3</v>
      </c>
      <c r="E98" s="38">
        <v>3000</v>
      </c>
      <c r="F98" s="37">
        <f>G98/12</f>
        <v>750</v>
      </c>
      <c r="G98" s="38">
        <f t="shared" ref="G98:G99" si="6">D98*E98</f>
        <v>9000</v>
      </c>
    </row>
    <row r="99" spans="1:7" x14ac:dyDescent="0.2">
      <c r="A99" s="86"/>
      <c r="B99" s="68" t="s">
        <v>112</v>
      </c>
      <c r="C99" s="31" t="s">
        <v>113</v>
      </c>
      <c r="D99" s="38">
        <v>3</v>
      </c>
      <c r="E99" s="38">
        <v>3000</v>
      </c>
      <c r="F99" s="37">
        <f t="shared" ref="F99:F110" si="7">G99/12</f>
        <v>750</v>
      </c>
      <c r="G99" s="38">
        <f t="shared" si="6"/>
        <v>9000</v>
      </c>
    </row>
    <row r="100" spans="1:7" x14ac:dyDescent="0.2">
      <c r="A100" s="140"/>
      <c r="B100" s="68" t="s">
        <v>205</v>
      </c>
      <c r="C100" s="31"/>
      <c r="D100" s="38">
        <v>5</v>
      </c>
      <c r="E100" s="38">
        <v>3000</v>
      </c>
      <c r="F100" s="37">
        <v>3000</v>
      </c>
      <c r="G100" s="38">
        <f>F100*5</f>
        <v>15000</v>
      </c>
    </row>
    <row r="101" spans="1:7" ht="30" x14ac:dyDescent="0.2">
      <c r="A101" s="86"/>
      <c r="B101" s="58" t="s">
        <v>139</v>
      </c>
      <c r="C101" s="31" t="s">
        <v>113</v>
      </c>
      <c r="D101" s="38">
        <v>3</v>
      </c>
      <c r="E101" s="33"/>
      <c r="F101" s="37">
        <f t="shared" si="7"/>
        <v>750</v>
      </c>
      <c r="G101" s="38">
        <v>9000</v>
      </c>
    </row>
    <row r="102" spans="1:7" x14ac:dyDescent="0.2">
      <c r="A102" s="86"/>
      <c r="B102" s="58" t="s">
        <v>138</v>
      </c>
      <c r="C102" s="31" t="s">
        <v>9</v>
      </c>
      <c r="D102" s="38">
        <v>1</v>
      </c>
      <c r="E102" s="38"/>
      <c r="F102" s="37">
        <f t="shared" si="7"/>
        <v>125</v>
      </c>
      <c r="G102" s="38">
        <v>1500</v>
      </c>
    </row>
    <row r="103" spans="1:7" x14ac:dyDescent="0.2">
      <c r="A103" s="63"/>
      <c r="B103" s="58" t="s">
        <v>110</v>
      </c>
      <c r="C103" s="31" t="s">
        <v>9</v>
      </c>
      <c r="D103" s="38">
        <v>5</v>
      </c>
      <c r="E103" s="38"/>
      <c r="F103" s="37">
        <f t="shared" si="7"/>
        <v>925</v>
      </c>
      <c r="G103" s="38">
        <v>11100</v>
      </c>
    </row>
    <row r="104" spans="1:7" x14ac:dyDescent="0.2">
      <c r="A104" s="63"/>
      <c r="B104" s="68" t="s">
        <v>111</v>
      </c>
      <c r="C104" s="31" t="s">
        <v>63</v>
      </c>
      <c r="D104" s="38">
        <v>1</v>
      </c>
      <c r="E104" s="38"/>
      <c r="F104" s="37">
        <f t="shared" si="7"/>
        <v>482.5</v>
      </c>
      <c r="G104" s="38">
        <v>5790</v>
      </c>
    </row>
    <row r="105" spans="1:7" x14ac:dyDescent="0.2">
      <c r="A105" s="63"/>
      <c r="B105" s="58" t="s">
        <v>114</v>
      </c>
      <c r="C105" s="31" t="s">
        <v>115</v>
      </c>
      <c r="D105" s="38">
        <v>1</v>
      </c>
      <c r="E105" s="38"/>
      <c r="F105" s="37">
        <f t="shared" si="7"/>
        <v>1375</v>
      </c>
      <c r="G105" s="26">
        <v>16500</v>
      </c>
    </row>
    <row r="106" spans="1:7" x14ac:dyDescent="0.2">
      <c r="A106" s="63"/>
      <c r="B106" s="58" t="s">
        <v>154</v>
      </c>
      <c r="C106" s="31" t="s">
        <v>63</v>
      </c>
      <c r="D106" s="38">
        <v>12</v>
      </c>
      <c r="E106" s="33"/>
      <c r="F106" s="37">
        <f t="shared" si="7"/>
        <v>566.66666666666663</v>
      </c>
      <c r="G106" s="38">
        <v>6800</v>
      </c>
    </row>
    <row r="107" spans="1:7" x14ac:dyDescent="0.2">
      <c r="A107" s="63"/>
      <c r="B107" s="58" t="s">
        <v>116</v>
      </c>
      <c r="C107" s="31" t="s">
        <v>63</v>
      </c>
      <c r="D107" s="38"/>
      <c r="E107" s="38"/>
      <c r="F107" s="37">
        <f t="shared" si="7"/>
        <v>833.33333333333337</v>
      </c>
      <c r="G107" s="50">
        <v>10000</v>
      </c>
    </row>
    <row r="108" spans="1:7" ht="30" x14ac:dyDescent="0.2">
      <c r="A108" s="63"/>
      <c r="B108" s="58" t="s">
        <v>106</v>
      </c>
      <c r="C108" s="31" t="s">
        <v>63</v>
      </c>
      <c r="D108" s="38">
        <v>12</v>
      </c>
      <c r="E108" s="33"/>
      <c r="F108" s="69">
        <f t="shared" si="7"/>
        <v>5000</v>
      </c>
      <c r="G108" s="38">
        <v>60000</v>
      </c>
    </row>
    <row r="109" spans="1:7" x14ac:dyDescent="0.2">
      <c r="A109" s="63"/>
      <c r="B109" s="58" t="s">
        <v>155</v>
      </c>
      <c r="C109" s="31"/>
      <c r="D109" s="38"/>
      <c r="E109" s="33"/>
      <c r="F109" s="69">
        <f t="shared" si="7"/>
        <v>2500</v>
      </c>
      <c r="G109" s="38">
        <v>30000</v>
      </c>
    </row>
    <row r="110" spans="1:7" x14ac:dyDescent="0.25">
      <c r="A110" s="70"/>
      <c r="B110" s="58" t="s">
        <v>117</v>
      </c>
      <c r="C110" s="31" t="s">
        <v>63</v>
      </c>
      <c r="D110" s="71"/>
      <c r="E110" s="72"/>
      <c r="F110" s="37">
        <f t="shared" si="7"/>
        <v>3750</v>
      </c>
      <c r="G110" s="38">
        <v>45000</v>
      </c>
    </row>
    <row r="111" spans="1:7" x14ac:dyDescent="0.2">
      <c r="A111" s="86" t="s">
        <v>21</v>
      </c>
      <c r="B111" s="87" t="s">
        <v>37</v>
      </c>
      <c r="C111" s="31" t="s">
        <v>63</v>
      </c>
      <c r="D111" s="85">
        <v>495</v>
      </c>
      <c r="E111" s="33"/>
      <c r="F111" s="39">
        <f>G111/12</f>
        <v>32797.833333333336</v>
      </c>
      <c r="G111" s="40">
        <v>393574</v>
      </c>
    </row>
    <row r="112" spans="1:7" x14ac:dyDescent="0.2">
      <c r="A112" s="86" t="s">
        <v>23</v>
      </c>
      <c r="B112" s="73" t="s">
        <v>39</v>
      </c>
      <c r="C112" s="31" t="s">
        <v>63</v>
      </c>
      <c r="D112" s="85"/>
      <c r="E112" s="38"/>
      <c r="F112" s="39">
        <f>G112/12</f>
        <v>57854.166666666664</v>
      </c>
      <c r="G112" s="40">
        <f>(65000*2)+(56425*10)</f>
        <v>694250</v>
      </c>
    </row>
    <row r="113" spans="1:7" x14ac:dyDescent="0.2">
      <c r="A113" s="86" t="s">
        <v>25</v>
      </c>
      <c r="B113" s="73" t="s">
        <v>41</v>
      </c>
      <c r="C113" s="31" t="s">
        <v>63</v>
      </c>
      <c r="D113" s="85">
        <v>12</v>
      </c>
      <c r="E113" s="38"/>
      <c r="F113" s="39">
        <v>20360</v>
      </c>
      <c r="G113" s="40">
        <f>F113*12</f>
        <v>244320</v>
      </c>
    </row>
    <row r="114" spans="1:7" x14ac:dyDescent="0.2">
      <c r="A114" s="86" t="s">
        <v>27</v>
      </c>
      <c r="B114" s="73" t="s">
        <v>43</v>
      </c>
      <c r="C114" s="31" t="s">
        <v>63</v>
      </c>
      <c r="D114" s="85">
        <v>12</v>
      </c>
      <c r="E114" s="38"/>
      <c r="F114" s="39">
        <v>9000</v>
      </c>
      <c r="G114" s="40">
        <f>F114*12</f>
        <v>108000</v>
      </c>
    </row>
    <row r="115" spans="1:7" ht="28.5" x14ac:dyDescent="0.2">
      <c r="A115" s="86" t="s">
        <v>29</v>
      </c>
      <c r="B115" s="73" t="s">
        <v>55</v>
      </c>
      <c r="C115" s="85" t="s">
        <v>118</v>
      </c>
      <c r="D115" s="85">
        <v>2.6</v>
      </c>
      <c r="E115" s="33"/>
      <c r="F115" s="39">
        <v>29322.338270763412</v>
      </c>
      <c r="G115" s="40">
        <v>283742</v>
      </c>
    </row>
    <row r="116" spans="1:7" ht="12.75" customHeight="1" x14ac:dyDescent="0.2">
      <c r="A116" s="146" t="s">
        <v>119</v>
      </c>
      <c r="B116" s="146"/>
      <c r="C116" s="146"/>
      <c r="D116" s="146"/>
      <c r="E116" s="146"/>
      <c r="F116" s="146"/>
      <c r="G116" s="47">
        <f>G117+G118+G119+G120+G121+G122+G123</f>
        <v>4939555</v>
      </c>
    </row>
    <row r="117" spans="1:7" x14ac:dyDescent="0.25">
      <c r="A117" s="86" t="s">
        <v>30</v>
      </c>
      <c r="B117" s="74" t="s">
        <v>33</v>
      </c>
      <c r="C117" s="75" t="s">
        <v>47</v>
      </c>
      <c r="D117" s="76"/>
      <c r="E117" s="32">
        <v>2.8</v>
      </c>
      <c r="F117" s="31">
        <f>G117/12</f>
        <v>105445.08333333333</v>
      </c>
      <c r="G117" s="49">
        <v>1265341</v>
      </c>
    </row>
    <row r="118" spans="1:7" x14ac:dyDescent="0.25">
      <c r="A118" s="86" t="s">
        <v>32</v>
      </c>
      <c r="B118" s="68" t="s">
        <v>35</v>
      </c>
      <c r="C118" s="77" t="s">
        <v>47</v>
      </c>
      <c r="D118" s="76"/>
      <c r="E118" s="33">
        <v>1.1599999999999999</v>
      </c>
      <c r="F118" s="31">
        <f t="shared" ref="F118:F123" si="8">G118/12</f>
        <v>19744.583333333332</v>
      </c>
      <c r="G118" s="49">
        <v>236935</v>
      </c>
    </row>
    <row r="119" spans="1:7" ht="12.75" customHeight="1" x14ac:dyDescent="0.25">
      <c r="A119" s="145" t="s">
        <v>34</v>
      </c>
      <c r="B119" s="74" t="s">
        <v>49</v>
      </c>
      <c r="C119" s="75" t="s">
        <v>50</v>
      </c>
      <c r="D119" s="76"/>
      <c r="E119" s="32">
        <v>15.89</v>
      </c>
      <c r="F119" s="31">
        <f t="shared" si="8"/>
        <v>22336.333333333332</v>
      </c>
      <c r="G119" s="49">
        <v>268036</v>
      </c>
    </row>
    <row r="120" spans="1:7" x14ac:dyDescent="0.25">
      <c r="A120" s="145"/>
      <c r="B120" s="74" t="s">
        <v>48</v>
      </c>
      <c r="C120" s="75" t="s">
        <v>50</v>
      </c>
      <c r="D120" s="76"/>
      <c r="E120" s="32">
        <v>15.89</v>
      </c>
      <c r="F120" s="31">
        <f t="shared" si="8"/>
        <v>31482.166666666668</v>
      </c>
      <c r="G120" s="49">
        <v>377786</v>
      </c>
    </row>
    <row r="121" spans="1:7" ht="12.75" customHeight="1" x14ac:dyDescent="0.25">
      <c r="A121" s="145" t="s">
        <v>36</v>
      </c>
      <c r="B121" s="74" t="s">
        <v>52</v>
      </c>
      <c r="C121" s="75" t="s">
        <v>50</v>
      </c>
      <c r="D121" s="76"/>
      <c r="E121" s="32">
        <v>60.820000000000007</v>
      </c>
      <c r="F121" s="31">
        <f t="shared" si="8"/>
        <v>89040.75</v>
      </c>
      <c r="G121" s="49">
        <v>1068489</v>
      </c>
    </row>
    <row r="122" spans="1:7" x14ac:dyDescent="0.25">
      <c r="A122" s="145"/>
      <c r="B122" s="74" t="s">
        <v>120</v>
      </c>
      <c r="C122" s="75" t="s">
        <v>50</v>
      </c>
      <c r="D122" s="76"/>
      <c r="E122" s="32">
        <v>60.820000000000007</v>
      </c>
      <c r="F122" s="31">
        <f t="shared" si="8"/>
        <v>13332.333333333334</v>
      </c>
      <c r="G122" s="49">
        <v>159988</v>
      </c>
    </row>
    <row r="123" spans="1:7" x14ac:dyDescent="0.25">
      <c r="A123" s="86" t="s">
        <v>38</v>
      </c>
      <c r="B123" s="74" t="s">
        <v>53</v>
      </c>
      <c r="C123" s="75" t="s">
        <v>54</v>
      </c>
      <c r="D123" s="76"/>
      <c r="E123" s="41">
        <v>11.856</v>
      </c>
      <c r="F123" s="31">
        <f t="shared" si="8"/>
        <v>130248.33333333333</v>
      </c>
      <c r="G123" s="49">
        <v>1562980</v>
      </c>
    </row>
    <row r="124" spans="1:7" ht="12.75" customHeight="1" x14ac:dyDescent="0.25">
      <c r="A124" s="78"/>
      <c r="B124" s="148" t="s">
        <v>164</v>
      </c>
      <c r="C124" s="148"/>
      <c r="D124" s="148"/>
      <c r="E124" s="148"/>
      <c r="F124" s="148"/>
      <c r="G124" s="47">
        <f>G125+G126+G127+G128+G129+G130+G131+G132+G133+G134+G135+G136+G137+G138+G139+G140</f>
        <v>8517818.4021654166</v>
      </c>
    </row>
    <row r="125" spans="1:7" ht="12.75" customHeight="1" x14ac:dyDescent="0.2">
      <c r="A125" s="86" t="s">
        <v>18</v>
      </c>
      <c r="B125" s="43" t="s">
        <v>24</v>
      </c>
      <c r="C125" s="85"/>
      <c r="D125" s="85"/>
      <c r="E125" s="55"/>
      <c r="F125" s="85"/>
      <c r="G125" s="38">
        <f>G18+G35-G59</f>
        <v>-199144.1018345831</v>
      </c>
    </row>
    <row r="126" spans="1:7" ht="20.25" customHeight="1" x14ac:dyDescent="0.2">
      <c r="A126" s="86" t="s">
        <v>19</v>
      </c>
      <c r="B126" s="43" t="s">
        <v>121</v>
      </c>
      <c r="C126" s="85"/>
      <c r="D126" s="85"/>
      <c r="E126" s="55"/>
      <c r="F126" s="85"/>
      <c r="G126" s="38">
        <f>G19+G55</f>
        <v>161418.5</v>
      </c>
    </row>
    <row r="127" spans="1:7" x14ac:dyDescent="0.2">
      <c r="A127" s="86"/>
      <c r="B127" s="43" t="s">
        <v>165</v>
      </c>
      <c r="C127" s="85"/>
      <c r="D127" s="85"/>
      <c r="E127" s="55"/>
      <c r="F127" s="85"/>
      <c r="G127" s="38">
        <f>G20+G36+G56</f>
        <v>7474610.5039999997</v>
      </c>
    </row>
    <row r="128" spans="1:7" ht="12.75" customHeight="1" x14ac:dyDescent="0.2">
      <c r="A128" s="86" t="s">
        <v>20</v>
      </c>
      <c r="B128" s="43" t="s">
        <v>22</v>
      </c>
      <c r="C128" s="85"/>
      <c r="D128" s="85"/>
      <c r="E128" s="55"/>
      <c r="F128" s="85"/>
      <c r="G128" s="38">
        <f>G21+G37-G96</f>
        <v>430320</v>
      </c>
    </row>
    <row r="129" spans="1:7" ht="12.75" customHeight="1" x14ac:dyDescent="0.25">
      <c r="A129" s="86" t="s">
        <v>21</v>
      </c>
      <c r="B129" s="56" t="s">
        <v>37</v>
      </c>
      <c r="C129" s="85"/>
      <c r="D129" s="85"/>
      <c r="E129" s="55"/>
      <c r="F129" s="85"/>
      <c r="G129" s="38">
        <f>G22+G38-G111</f>
        <v>-7981</v>
      </c>
    </row>
    <row r="130" spans="1:7" ht="12.75" customHeight="1" x14ac:dyDescent="0.25">
      <c r="A130" s="86" t="s">
        <v>23</v>
      </c>
      <c r="B130" s="56" t="s">
        <v>39</v>
      </c>
      <c r="C130" s="85"/>
      <c r="D130" s="85"/>
      <c r="E130" s="55"/>
      <c r="F130" s="85"/>
      <c r="G130" s="46">
        <f>G23+G39-G112</f>
        <v>-42851</v>
      </c>
    </row>
    <row r="131" spans="1:7" ht="12.75" customHeight="1" x14ac:dyDescent="0.25">
      <c r="A131" s="86" t="s">
        <v>25</v>
      </c>
      <c r="B131" s="56" t="s">
        <v>41</v>
      </c>
      <c r="C131" s="85"/>
      <c r="D131" s="85"/>
      <c r="E131" s="55"/>
      <c r="F131" s="85"/>
      <c r="G131" s="46">
        <f>G24+G40-G113</f>
        <v>39</v>
      </c>
    </row>
    <row r="132" spans="1:7" ht="12.75" customHeight="1" x14ac:dyDescent="0.25">
      <c r="A132" s="86" t="s">
        <v>27</v>
      </c>
      <c r="B132" s="56" t="s">
        <v>43</v>
      </c>
      <c r="C132" s="85"/>
      <c r="D132" s="85"/>
      <c r="E132" s="55"/>
      <c r="F132" s="85"/>
      <c r="G132" s="46">
        <f>G25+G41-G114</f>
        <v>72</v>
      </c>
    </row>
    <row r="133" spans="1:7" ht="12.75" customHeight="1" x14ac:dyDescent="0.2">
      <c r="A133" s="86" t="s">
        <v>29</v>
      </c>
      <c r="B133" s="43" t="s">
        <v>33</v>
      </c>
      <c r="C133" s="85"/>
      <c r="D133" s="85"/>
      <c r="E133" s="55"/>
      <c r="F133" s="85"/>
      <c r="G133" s="38">
        <f>G26+G42-G117</f>
        <v>3671.5</v>
      </c>
    </row>
    <row r="134" spans="1:7" ht="12.75" customHeight="1" x14ac:dyDescent="0.2">
      <c r="A134" s="86" t="s">
        <v>30</v>
      </c>
      <c r="B134" s="43" t="s">
        <v>35</v>
      </c>
      <c r="C134" s="85"/>
      <c r="D134" s="85"/>
      <c r="E134" s="55"/>
      <c r="F134" s="85"/>
      <c r="G134" s="38">
        <f>G27+G43-G118</f>
        <v>1679</v>
      </c>
    </row>
    <row r="135" spans="1:7" ht="12.75" customHeight="1" x14ac:dyDescent="0.2">
      <c r="A135" s="86" t="s">
        <v>32</v>
      </c>
      <c r="B135" s="43" t="s">
        <v>28</v>
      </c>
      <c r="C135" s="85"/>
      <c r="D135" s="85"/>
      <c r="E135" s="55"/>
      <c r="F135" s="85"/>
      <c r="G135" s="38">
        <f>G28+G44-G119-G120</f>
        <v>-238490</v>
      </c>
    </row>
    <row r="136" spans="1:7" ht="12.75" customHeight="1" x14ac:dyDescent="0.2">
      <c r="A136" s="86" t="s">
        <v>34</v>
      </c>
      <c r="B136" s="43" t="s">
        <v>26</v>
      </c>
      <c r="C136" s="85"/>
      <c r="D136" s="85"/>
      <c r="E136" s="55"/>
      <c r="F136" s="85"/>
      <c r="G136" s="38">
        <f>G29+G47-G121-G122</f>
        <v>538588.5</v>
      </c>
    </row>
    <row r="137" spans="1:7" ht="12.75" customHeight="1" x14ac:dyDescent="0.2">
      <c r="A137" s="86" t="s">
        <v>36</v>
      </c>
      <c r="B137" s="43" t="s">
        <v>122</v>
      </c>
      <c r="C137" s="85"/>
      <c r="D137" s="85"/>
      <c r="E137" s="55"/>
      <c r="F137" s="85"/>
      <c r="G137" s="38">
        <f>G30+G50-G123</f>
        <v>188342.5</v>
      </c>
    </row>
    <row r="138" spans="1:7" ht="12.75" customHeight="1" x14ac:dyDescent="0.2">
      <c r="A138" s="86" t="s">
        <v>38</v>
      </c>
      <c r="B138" s="43" t="s">
        <v>31</v>
      </c>
      <c r="C138" s="85"/>
      <c r="D138" s="85"/>
      <c r="E138" s="55"/>
      <c r="F138" s="85"/>
      <c r="G138" s="38">
        <f>G31</f>
        <v>-9645</v>
      </c>
    </row>
    <row r="139" spans="1:7" ht="12.75" customHeight="1" x14ac:dyDescent="0.2">
      <c r="A139" s="86" t="s">
        <v>40</v>
      </c>
      <c r="B139" s="43" t="s">
        <v>123</v>
      </c>
      <c r="C139" s="85"/>
      <c r="D139" s="85"/>
      <c r="E139" s="55"/>
      <c r="F139" s="85"/>
      <c r="G139" s="38">
        <f>G32</f>
        <v>21888</v>
      </c>
    </row>
    <row r="140" spans="1:7" ht="12.75" customHeight="1" x14ac:dyDescent="0.25">
      <c r="A140" s="86" t="s">
        <v>42</v>
      </c>
      <c r="B140" s="56" t="s">
        <v>62</v>
      </c>
      <c r="C140" s="85"/>
      <c r="D140" s="85"/>
      <c r="E140" s="55"/>
      <c r="F140" s="85"/>
      <c r="G140" s="46">
        <f>G33+G57</f>
        <v>195300</v>
      </c>
    </row>
  </sheetData>
  <mergeCells count="23">
    <mergeCell ref="A116:F116"/>
    <mergeCell ref="A119:A120"/>
    <mergeCell ref="A121:A122"/>
    <mergeCell ref="B124:F124"/>
    <mergeCell ref="F13:G14"/>
    <mergeCell ref="F15:F16"/>
    <mergeCell ref="G15:G16"/>
    <mergeCell ref="B17:D17"/>
    <mergeCell ref="A58:E58"/>
    <mergeCell ref="A34:E34"/>
    <mergeCell ref="D13:D16"/>
    <mergeCell ref="E13:E16"/>
    <mergeCell ref="A11:B11"/>
    <mergeCell ref="A12:B12"/>
    <mergeCell ref="A13:A16"/>
    <mergeCell ref="B13:B16"/>
    <mergeCell ref="C13:C16"/>
    <mergeCell ref="A10:B10"/>
    <mergeCell ref="A2:G2"/>
    <mergeCell ref="A4:G4"/>
    <mergeCell ref="A5:G5"/>
    <mergeCell ref="A7:G7"/>
    <mergeCell ref="A8:G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11"/>
  <sheetViews>
    <sheetView tabSelected="1" topLeftCell="A25" workbookViewId="0">
      <selection activeCell="M24" sqref="M24"/>
    </sheetView>
  </sheetViews>
  <sheetFormatPr defaultRowHeight="15" x14ac:dyDescent="0.25"/>
  <cols>
    <col min="1" max="1" width="5.7109375" style="139" customWidth="1"/>
    <col min="2" max="2" width="31.7109375" style="91" customWidth="1"/>
    <col min="3" max="3" width="9.28515625" style="91" hidden="1" customWidth="1"/>
    <col min="4" max="4" width="11.42578125" style="92" customWidth="1"/>
    <col min="5" max="5" width="11.7109375" style="92" customWidth="1"/>
    <col min="6" max="6" width="10.28515625" style="110" customWidth="1"/>
    <col min="7" max="7" width="10.28515625" style="91" customWidth="1"/>
    <col min="8" max="122" width="9.28515625" style="91" customWidth="1"/>
    <col min="123" max="244" width="9.28515625" style="132" customWidth="1"/>
    <col min="245" max="1012" width="9.28515625" customWidth="1"/>
  </cols>
  <sheetData>
    <row r="1" spans="1:244" x14ac:dyDescent="0.25">
      <c r="A1" s="90"/>
      <c r="E1" s="93"/>
      <c r="F1" s="9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x14ac:dyDescent="0.25">
      <c r="A2" s="90"/>
      <c r="E2" s="93"/>
      <c r="F2" s="9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5.25" customHeight="1" x14ac:dyDescent="0.25">
      <c r="A3" s="90"/>
      <c r="E3" s="93"/>
      <c r="F3" s="94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x14ac:dyDescent="0.25">
      <c r="A4" s="90"/>
      <c r="B4" s="90" t="s">
        <v>166</v>
      </c>
      <c r="E4" s="93"/>
      <c r="F4" s="9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x14ac:dyDescent="0.25">
      <c r="A5" s="90"/>
      <c r="B5" s="93" t="s">
        <v>167</v>
      </c>
      <c r="E5" s="93"/>
      <c r="F5" s="9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3.75" customHeight="1" x14ac:dyDescent="0.25">
      <c r="A6" s="90"/>
      <c r="B6" s="93"/>
      <c r="E6" s="93"/>
      <c r="F6" s="9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6.5" customHeight="1" x14ac:dyDescent="0.25">
      <c r="A7" s="142" t="s">
        <v>168</v>
      </c>
      <c r="B7" s="142"/>
      <c r="C7" s="95"/>
      <c r="D7" s="96">
        <v>12836.4</v>
      </c>
      <c r="E7" s="97" t="s">
        <v>5</v>
      </c>
      <c r="F7" s="98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ht="16.5" hidden="1" customHeight="1" x14ac:dyDescent="0.25">
      <c r="A8" s="142" t="s">
        <v>6</v>
      </c>
      <c r="B8" s="142"/>
      <c r="C8" s="95"/>
      <c r="D8" s="99">
        <v>269</v>
      </c>
      <c r="E8" s="97" t="s">
        <v>7</v>
      </c>
      <c r="F8" s="9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ht="15" customHeight="1" x14ac:dyDescent="0.25">
      <c r="A9" s="142" t="s">
        <v>8</v>
      </c>
      <c r="B9" s="142"/>
      <c r="C9" s="100"/>
      <c r="D9" s="97">
        <v>249</v>
      </c>
      <c r="E9" s="97" t="s">
        <v>9</v>
      </c>
      <c r="F9" s="101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ht="3" customHeight="1" x14ac:dyDescent="0.25">
      <c r="A10" s="102"/>
      <c r="B10" s="100"/>
      <c r="C10" s="100"/>
      <c r="D10" s="103"/>
      <c r="E10" s="103"/>
      <c r="F10" s="104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s="105" customFormat="1" ht="15" customHeight="1" x14ac:dyDescent="0.25">
      <c r="A11" s="166" t="s">
        <v>10</v>
      </c>
      <c r="B11" s="159" t="s">
        <v>11</v>
      </c>
      <c r="C11" s="10"/>
      <c r="D11" s="158" t="s">
        <v>15</v>
      </c>
      <c r="E11" s="158"/>
      <c r="F11" s="157" t="s">
        <v>169</v>
      </c>
    </row>
    <row r="12" spans="1:244" s="105" customFormat="1" ht="15" customHeight="1" x14ac:dyDescent="0.25">
      <c r="A12" s="166"/>
      <c r="B12" s="159"/>
      <c r="C12" s="10"/>
      <c r="D12" s="158"/>
      <c r="E12" s="158"/>
      <c r="F12" s="157"/>
    </row>
    <row r="13" spans="1:244" s="105" customFormat="1" ht="12.75" customHeight="1" x14ac:dyDescent="0.25">
      <c r="A13" s="166"/>
      <c r="B13" s="159"/>
      <c r="C13" s="10"/>
      <c r="D13" s="158" t="s">
        <v>16</v>
      </c>
      <c r="E13" s="159" t="s">
        <v>17</v>
      </c>
      <c r="F13" s="160" t="s">
        <v>170</v>
      </c>
    </row>
    <row r="14" spans="1:244" s="105" customFormat="1" ht="12.75" customHeight="1" x14ac:dyDescent="0.25">
      <c r="A14" s="166"/>
      <c r="B14" s="159"/>
      <c r="C14" s="10"/>
      <c r="D14" s="158"/>
      <c r="E14" s="159"/>
      <c r="F14" s="160"/>
    </row>
    <row r="15" spans="1:244" ht="21" customHeight="1" x14ac:dyDescent="0.25">
      <c r="A15" s="161" t="s">
        <v>171</v>
      </c>
      <c r="B15" s="161"/>
      <c r="C15" s="161"/>
      <c r="D15" s="161"/>
      <c r="E15" s="161"/>
      <c r="F15" s="161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21" customHeight="1" x14ac:dyDescent="0.25">
      <c r="A16" s="89"/>
      <c r="B16" s="89"/>
      <c r="C16" s="89"/>
      <c r="D16" s="106">
        <f>E16/12</f>
        <v>552268.08943941956</v>
      </c>
      <c r="E16" s="107">
        <f>E17+E30+E31+E32+E33+E34+E35+E36</f>
        <v>6627217.0732730348</v>
      </c>
      <c r="F16" s="89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s="105" customFormat="1" ht="26.25" customHeight="1" x14ac:dyDescent="0.25">
      <c r="A17" s="108">
        <v>1</v>
      </c>
      <c r="B17" s="11" t="s">
        <v>45</v>
      </c>
      <c r="C17" s="12"/>
      <c r="D17" s="106">
        <f t="shared" ref="D17:D29" si="0">E17/12</f>
        <v>283560.46410608623</v>
      </c>
      <c r="E17" s="109">
        <f>E18+E19+E20+E21+E22+E23+E24+E25</f>
        <v>3402725.569273035</v>
      </c>
      <c r="F17" s="162">
        <f>E17/12/D7</f>
        <v>22.090341848655871</v>
      </c>
    </row>
    <row r="18" spans="1:244" ht="15.75" customHeight="1" x14ac:dyDescent="0.25">
      <c r="A18" s="13" t="s">
        <v>66</v>
      </c>
      <c r="B18" s="11" t="s">
        <v>143</v>
      </c>
      <c r="C18" s="14"/>
      <c r="D18" s="106">
        <f t="shared" si="0"/>
        <v>9636.0833333333339</v>
      </c>
      <c r="E18" s="20">
        <f>'[1]Cмета 2021'!G60</f>
        <v>115633</v>
      </c>
      <c r="F18" s="162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x14ac:dyDescent="0.25">
      <c r="A19" s="13" t="s">
        <v>67</v>
      </c>
      <c r="B19" s="11" t="s">
        <v>68</v>
      </c>
      <c r="C19" s="14"/>
      <c r="D19" s="106">
        <f t="shared" si="0"/>
        <v>7559.166666666667</v>
      </c>
      <c r="E19" s="20">
        <f>'Смета 21'!G61</f>
        <v>90710</v>
      </c>
      <c r="F19" s="162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x14ac:dyDescent="0.25">
      <c r="A20" s="13" t="s">
        <v>74</v>
      </c>
      <c r="B20" s="11" t="s">
        <v>75</v>
      </c>
      <c r="C20" s="14"/>
      <c r="D20" s="106">
        <f t="shared" si="0"/>
        <v>1155.6000000000001</v>
      </c>
      <c r="E20" s="20">
        <f>'[1]Cмета 2021'!G69</f>
        <v>13867.2</v>
      </c>
      <c r="F20" s="162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30" x14ac:dyDescent="0.25">
      <c r="A21" s="13" t="s">
        <v>79</v>
      </c>
      <c r="B21" s="11" t="s">
        <v>80</v>
      </c>
      <c r="C21" s="14"/>
      <c r="D21" s="106">
        <f t="shared" si="0"/>
        <v>2255</v>
      </c>
      <c r="E21" s="20">
        <f>'[1]Cмета 2021'!G72</f>
        <v>27060</v>
      </c>
      <c r="F21" s="162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x14ac:dyDescent="0.25">
      <c r="A22" s="13" t="s">
        <v>81</v>
      </c>
      <c r="B22" s="11" t="s">
        <v>82</v>
      </c>
      <c r="C22" s="14"/>
      <c r="D22" s="106">
        <f t="shared" si="0"/>
        <v>995.83333333333337</v>
      </c>
      <c r="E22" s="20">
        <f>'Смета 21'!G73</f>
        <v>11950</v>
      </c>
      <c r="F22" s="16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x14ac:dyDescent="0.25">
      <c r="A23" s="13" t="s">
        <v>86</v>
      </c>
      <c r="B23" s="11" t="s">
        <v>87</v>
      </c>
      <c r="C23" s="14"/>
      <c r="D23" s="106">
        <f t="shared" si="0"/>
        <v>11120.833333333334</v>
      </c>
      <c r="E23" s="20">
        <f>'Смета 21'!G77</f>
        <v>133450</v>
      </c>
      <c r="F23" s="162"/>
      <c r="G23" s="110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16.5" customHeight="1" x14ac:dyDescent="0.25">
      <c r="A24" s="13" t="s">
        <v>92</v>
      </c>
      <c r="B24" s="11" t="s">
        <v>93</v>
      </c>
      <c r="C24" s="14"/>
      <c r="D24" s="106">
        <f t="shared" si="0"/>
        <v>20000</v>
      </c>
      <c r="E24" s="20">
        <f>'Смета 21'!G86</f>
        <v>240000</v>
      </c>
      <c r="F24" s="16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x14ac:dyDescent="0.25">
      <c r="A25" s="13" t="s">
        <v>98</v>
      </c>
      <c r="B25" s="11" t="s">
        <v>99</v>
      </c>
      <c r="C25" s="14"/>
      <c r="D25" s="106">
        <f t="shared" si="0"/>
        <v>230837.9474394196</v>
      </c>
      <c r="E25" s="20">
        <f>E26+E27+E28+E29</f>
        <v>2770055.3692730353</v>
      </c>
      <c r="F25" s="16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x14ac:dyDescent="0.25">
      <c r="A26" s="13" t="s">
        <v>100</v>
      </c>
      <c r="B26" s="11" t="s">
        <v>172</v>
      </c>
      <c r="C26" s="14"/>
      <c r="D26" s="106">
        <f t="shared" si="0"/>
        <v>158068.70688666668</v>
      </c>
      <c r="E26" s="20">
        <f>'Смета 21'!G90</f>
        <v>1896824.4826400001</v>
      </c>
      <c r="F26" s="16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5" customHeight="1" x14ac:dyDescent="0.25">
      <c r="A27" s="13" t="s">
        <v>102</v>
      </c>
      <c r="B27" s="11" t="s">
        <v>129</v>
      </c>
      <c r="C27" s="15">
        <v>0.30199999999999999</v>
      </c>
      <c r="D27" s="106">
        <f t="shared" si="0"/>
        <v>53543.056932952932</v>
      </c>
      <c r="E27" s="20">
        <f>'Смета 21'!G91</f>
        <v>642516.68319543521</v>
      </c>
      <c r="F27" s="162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45" customHeight="1" x14ac:dyDescent="0.25">
      <c r="A28" s="13" t="s">
        <v>103</v>
      </c>
      <c r="B28" s="11" t="s">
        <v>173</v>
      </c>
      <c r="C28" s="15">
        <v>0.09</v>
      </c>
      <c r="D28" s="106">
        <f t="shared" si="0"/>
        <v>14226.183619800002</v>
      </c>
      <c r="E28" s="20">
        <f>'Смета 21'!G92</f>
        <v>170714.20343760002</v>
      </c>
      <c r="F28" s="16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45" customHeight="1" x14ac:dyDescent="0.25">
      <c r="A29" s="13" t="s">
        <v>104</v>
      </c>
      <c r="B29" s="11" t="s">
        <v>105</v>
      </c>
      <c r="C29" s="14"/>
      <c r="D29" s="106">
        <f t="shared" si="0"/>
        <v>5000</v>
      </c>
      <c r="E29" s="20">
        <f>'Смета 21'!G93</f>
        <v>60000</v>
      </c>
      <c r="F29" s="162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s="105" customFormat="1" ht="14.45" customHeight="1" x14ac:dyDescent="0.25">
      <c r="A30" s="108" t="s">
        <v>19</v>
      </c>
      <c r="B30" s="9" t="s">
        <v>161</v>
      </c>
      <c r="C30" s="111"/>
      <c r="D30" s="109">
        <f>E30/12</f>
        <v>103076.29199999997</v>
      </c>
      <c r="E30" s="109">
        <f>'Смета 21'!G36</f>
        <v>1236915.5039999997</v>
      </c>
      <c r="F30" s="16">
        <v>8.0299999999999994</v>
      </c>
      <c r="G30" s="112"/>
    </row>
    <row r="31" spans="1:244" s="105" customFormat="1" ht="14.45" customHeight="1" x14ac:dyDescent="0.25">
      <c r="A31" s="108" t="s">
        <v>20</v>
      </c>
      <c r="B31" s="11" t="s">
        <v>22</v>
      </c>
      <c r="C31" s="14"/>
      <c r="D31" s="109">
        <f t="shared" ref="D31:D36" si="1">E31/12</f>
        <v>21974.166666666668</v>
      </c>
      <c r="E31" s="109">
        <f>'Смета 21'!G37</f>
        <v>263690</v>
      </c>
      <c r="F31" s="16">
        <f>D31/D7</f>
        <v>1.7118636585543197</v>
      </c>
      <c r="G31" s="112"/>
    </row>
    <row r="32" spans="1:244" s="105" customFormat="1" ht="14.45" customHeight="1" x14ac:dyDescent="0.25">
      <c r="A32" s="108" t="s">
        <v>21</v>
      </c>
      <c r="B32" s="17" t="s">
        <v>174</v>
      </c>
      <c r="C32" s="12"/>
      <c r="D32" s="109">
        <f t="shared" si="1"/>
        <v>32797.833333333336</v>
      </c>
      <c r="E32" s="109">
        <f>'Смета 21'!G38</f>
        <v>393574</v>
      </c>
      <c r="F32" s="16">
        <v>54.69</v>
      </c>
      <c r="G32" s="112"/>
    </row>
    <row r="33" spans="1:244" s="105" customFormat="1" ht="14.45" customHeight="1" x14ac:dyDescent="0.25">
      <c r="A33" s="108" t="s">
        <v>23</v>
      </c>
      <c r="B33" s="17" t="s">
        <v>39</v>
      </c>
      <c r="C33" s="12"/>
      <c r="D33" s="109">
        <f t="shared" si="1"/>
        <v>57854.166666666664</v>
      </c>
      <c r="E33" s="109">
        <f>'Смета 21'!G39</f>
        <v>694250</v>
      </c>
      <c r="F33" s="16">
        <f>D33/D7</f>
        <v>4.5070398761854307</v>
      </c>
      <c r="G33" s="112"/>
    </row>
    <row r="34" spans="1:244" s="105" customFormat="1" ht="14.45" customHeight="1" x14ac:dyDescent="0.25">
      <c r="A34" s="108" t="s">
        <v>25</v>
      </c>
      <c r="B34" s="17" t="s">
        <v>41</v>
      </c>
      <c r="C34" s="113"/>
      <c r="D34" s="109">
        <f t="shared" si="1"/>
        <v>20360</v>
      </c>
      <c r="E34" s="109">
        <f>'[1]Cмета 2021'!G40</f>
        <v>244320</v>
      </c>
      <c r="F34" s="16">
        <f>D34/225</f>
        <v>90.488888888888894</v>
      </c>
      <c r="G34" s="112"/>
    </row>
    <row r="35" spans="1:244" s="105" customFormat="1" ht="14.45" customHeight="1" x14ac:dyDescent="0.25">
      <c r="A35" s="108" t="s">
        <v>27</v>
      </c>
      <c r="B35" s="17" t="s">
        <v>43</v>
      </c>
      <c r="C35" s="113"/>
      <c r="D35" s="109">
        <f t="shared" si="1"/>
        <v>9000</v>
      </c>
      <c r="E35" s="114">
        <f>'Смета 21'!G41</f>
        <v>108000</v>
      </c>
      <c r="F35" s="16">
        <f>D35/D9</f>
        <v>36.144578313253014</v>
      </c>
      <c r="G35" s="112"/>
    </row>
    <row r="36" spans="1:244" s="105" customFormat="1" ht="24" x14ac:dyDescent="0.25">
      <c r="A36" s="108" t="s">
        <v>29</v>
      </c>
      <c r="B36" s="115" t="s">
        <v>175</v>
      </c>
      <c r="C36" s="113"/>
      <c r="D36" s="109">
        <f t="shared" si="1"/>
        <v>23645.166666666668</v>
      </c>
      <c r="E36" s="114">
        <f>'Смета 21'!G51</f>
        <v>283742</v>
      </c>
      <c r="F36" s="16">
        <v>2.6</v>
      </c>
      <c r="G36" s="112"/>
    </row>
    <row r="37" spans="1:244" s="105" customFormat="1" ht="14.45" customHeight="1" x14ac:dyDescent="0.25">
      <c r="A37" s="116"/>
      <c r="B37" s="117"/>
      <c r="C37" s="118"/>
      <c r="D37" s="119"/>
      <c r="E37" s="120"/>
      <c r="F37" s="121"/>
      <c r="G37" s="112"/>
    </row>
    <row r="38" spans="1:244" ht="14.45" customHeight="1" x14ac:dyDescent="0.25">
      <c r="A38" s="122"/>
      <c r="B38" s="122"/>
      <c r="C38" s="122"/>
      <c r="D38" s="123"/>
      <c r="E38" s="123"/>
      <c r="F38" s="122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ht="14.45" customHeight="1" x14ac:dyDescent="0.25">
      <c r="A39" s="163" t="s">
        <v>119</v>
      </c>
      <c r="B39" s="163"/>
      <c r="C39" s="163"/>
      <c r="D39" s="163"/>
      <c r="E39" s="163"/>
      <c r="F39" s="16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pans="1:244" ht="14.45" customHeight="1" x14ac:dyDescent="0.25">
      <c r="A40" s="122"/>
      <c r="B40" s="122"/>
      <c r="C40" s="122"/>
      <c r="D40" s="123"/>
      <c r="E40" s="123"/>
      <c r="F40" s="122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38.25" customHeight="1" x14ac:dyDescent="0.25">
      <c r="A41" s="89"/>
      <c r="B41" s="89" t="s">
        <v>176</v>
      </c>
      <c r="C41" s="89" t="s">
        <v>177</v>
      </c>
      <c r="D41" s="89" t="s">
        <v>169</v>
      </c>
      <c r="E41" s="124"/>
      <c r="F41" s="12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14.45" customHeight="1" x14ac:dyDescent="0.25">
      <c r="A42" s="126" t="s">
        <v>18</v>
      </c>
      <c r="B42" s="17" t="s">
        <v>178</v>
      </c>
      <c r="C42" s="16" t="s">
        <v>47</v>
      </c>
      <c r="D42" s="113">
        <v>2.8</v>
      </c>
      <c r="E42" s="127"/>
      <c r="F42" s="164"/>
      <c r="G42" s="164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ht="14.45" customHeight="1" x14ac:dyDescent="0.25">
      <c r="A43" s="165" t="s">
        <v>19</v>
      </c>
      <c r="B43" s="17" t="s">
        <v>179</v>
      </c>
      <c r="C43" s="16" t="s">
        <v>50</v>
      </c>
      <c r="D43" s="18">
        <v>17.27</v>
      </c>
      <c r="E43" s="128"/>
      <c r="F43" s="164"/>
      <c r="G43" s="16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1:244" ht="14.45" customHeight="1" x14ac:dyDescent="0.25">
      <c r="A44" s="165"/>
      <c r="B44" s="17" t="s">
        <v>120</v>
      </c>
      <c r="C44" s="16" t="s">
        <v>50</v>
      </c>
      <c r="D44" s="18">
        <v>17.27</v>
      </c>
      <c r="E44" s="128"/>
      <c r="F44" s="128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spans="1:244" ht="14.45" customHeight="1" x14ac:dyDescent="0.25">
      <c r="A45" s="165" t="s">
        <v>20</v>
      </c>
      <c r="B45" s="17" t="s">
        <v>180</v>
      </c>
      <c r="C45" s="16" t="s">
        <v>50</v>
      </c>
      <c r="D45" s="18">
        <v>61.22</v>
      </c>
      <c r="E45" s="128"/>
      <c r="F45" s="128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spans="1:244" ht="14.45" customHeight="1" x14ac:dyDescent="0.25">
      <c r="A46" s="165"/>
      <c r="B46" s="17" t="s">
        <v>120</v>
      </c>
      <c r="C46" s="16" t="s">
        <v>50</v>
      </c>
      <c r="D46" s="18">
        <v>61.22</v>
      </c>
      <c r="E46" s="128"/>
      <c r="F46" s="128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spans="1:244" ht="14.45" customHeight="1" x14ac:dyDescent="0.25">
      <c r="A47" s="126" t="s">
        <v>21</v>
      </c>
      <c r="B47" s="17" t="s">
        <v>181</v>
      </c>
      <c r="C47" s="16" t="s">
        <v>54</v>
      </c>
      <c r="D47" s="113">
        <v>11.02</v>
      </c>
      <c r="E47" s="129"/>
      <c r="F47" s="130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spans="1:244" ht="14.45" customHeight="1" x14ac:dyDescent="0.25">
      <c r="A48" s="126" t="s">
        <v>23</v>
      </c>
      <c r="B48" s="115" t="s">
        <v>182</v>
      </c>
      <c r="C48" s="16" t="s">
        <v>183</v>
      </c>
      <c r="D48" s="16">
        <v>8.0299999999999994</v>
      </c>
      <c r="E48" s="131"/>
      <c r="F48" s="131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spans="1:244" ht="14.45" customHeight="1" x14ac:dyDescent="0.25">
      <c r="A49" s="156"/>
      <c r="B49" s="156"/>
      <c r="C49" s="156"/>
      <c r="D49" s="156"/>
      <c r="E49" s="156"/>
      <c r="F49" s="156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1" spans="1:244" x14ac:dyDescent="0.25">
      <c r="A51" s="153" t="s">
        <v>202</v>
      </c>
      <c r="B51" s="153"/>
      <c r="C51" s="153"/>
      <c r="D51" s="153"/>
      <c r="E51" s="153"/>
      <c r="F51" s="153"/>
    </row>
    <row r="53" spans="1:244" ht="30" x14ac:dyDescent="0.25">
      <c r="A53" s="133" t="s">
        <v>184</v>
      </c>
      <c r="B53" s="134" t="s">
        <v>185</v>
      </c>
      <c r="C53" s="113" t="s">
        <v>186</v>
      </c>
      <c r="D53" s="135" t="s">
        <v>187</v>
      </c>
      <c r="E53" s="135" t="s">
        <v>188</v>
      </c>
      <c r="F53" s="19" t="s">
        <v>189</v>
      </c>
      <c r="G53" s="136" t="s">
        <v>190</v>
      </c>
    </row>
    <row r="54" spans="1:244" x14ac:dyDescent="0.25">
      <c r="A54" s="137" t="s">
        <v>18</v>
      </c>
      <c r="B54" s="12" t="s">
        <v>191</v>
      </c>
      <c r="C54" s="21">
        <v>4000</v>
      </c>
      <c r="D54" s="21">
        <v>23870</v>
      </c>
      <c r="E54" s="21">
        <f>D54*13%</f>
        <v>3103.1</v>
      </c>
      <c r="F54" s="21">
        <f>D54*27.1%</f>
        <v>6468.77</v>
      </c>
      <c r="G54" s="138">
        <f>D54-E54</f>
        <v>20766.900000000001</v>
      </c>
    </row>
    <row r="55" spans="1:244" x14ac:dyDescent="0.25">
      <c r="A55" s="137" t="s">
        <v>19</v>
      </c>
      <c r="B55" s="17" t="s">
        <v>192</v>
      </c>
      <c r="C55" s="21">
        <v>4800</v>
      </c>
      <c r="D55" s="21">
        <v>26400</v>
      </c>
      <c r="E55" s="21">
        <f>D55*13%</f>
        <v>3432</v>
      </c>
      <c r="F55" s="21">
        <f>D55*30.2%</f>
        <v>7972.8</v>
      </c>
      <c r="G55" s="138">
        <f>D55-E55</f>
        <v>22968</v>
      </c>
    </row>
    <row r="56" spans="1:244" x14ac:dyDescent="0.25">
      <c r="A56" s="137" t="s">
        <v>20</v>
      </c>
      <c r="B56" s="17" t="s">
        <v>193</v>
      </c>
      <c r="C56" s="21">
        <v>2700</v>
      </c>
      <c r="D56" s="21">
        <v>19550</v>
      </c>
      <c r="E56" s="21">
        <f>D56*13%</f>
        <v>2541.5</v>
      </c>
      <c r="F56" s="21">
        <f>D56*30.2%</f>
        <v>5904.0999999999995</v>
      </c>
      <c r="G56" s="138">
        <f>D56-E56</f>
        <v>17008.5</v>
      </c>
    </row>
    <row r="57" spans="1:244" x14ac:dyDescent="0.25">
      <c r="A57" s="137" t="s">
        <v>21</v>
      </c>
      <c r="B57" s="17" t="s">
        <v>194</v>
      </c>
      <c r="C57" s="21">
        <v>900</v>
      </c>
      <c r="D57" s="21">
        <v>5524.7182199999997</v>
      </c>
      <c r="E57" s="21">
        <f>D57*13%</f>
        <v>718.21336859999997</v>
      </c>
      <c r="F57" s="21">
        <f t="shared" ref="F57:F63" si="2">D57*30.2%</f>
        <v>1668.4649024399998</v>
      </c>
      <c r="G57" s="138">
        <f t="shared" ref="G57:G61" si="3">D57-E57</f>
        <v>4806.5048514</v>
      </c>
    </row>
    <row r="58" spans="1:244" x14ac:dyDescent="0.25">
      <c r="A58" s="137" t="s">
        <v>23</v>
      </c>
      <c r="B58" s="12" t="s">
        <v>195</v>
      </c>
      <c r="C58" s="21">
        <v>2300</v>
      </c>
      <c r="D58" s="21">
        <v>12650.000000000002</v>
      </c>
      <c r="E58" s="21">
        <f t="shared" ref="E58:E63" si="4">D58*13%</f>
        <v>1644.5000000000002</v>
      </c>
      <c r="F58" s="21">
        <f t="shared" si="2"/>
        <v>3820.3000000000006</v>
      </c>
      <c r="G58" s="138">
        <f t="shared" si="3"/>
        <v>11005.500000000002</v>
      </c>
    </row>
    <row r="59" spans="1:244" x14ac:dyDescent="0.25">
      <c r="A59" s="137" t="s">
        <v>25</v>
      </c>
      <c r="B59" s="17" t="s">
        <v>196</v>
      </c>
      <c r="C59" s="21">
        <v>1500</v>
      </c>
      <c r="D59" s="21">
        <v>8951.25</v>
      </c>
      <c r="E59" s="21">
        <f t="shared" si="4"/>
        <v>1163.6625000000001</v>
      </c>
      <c r="F59" s="21">
        <f t="shared" si="2"/>
        <v>2703.2774999999997</v>
      </c>
      <c r="G59" s="138">
        <f t="shared" si="3"/>
        <v>7787.5874999999996</v>
      </c>
    </row>
    <row r="60" spans="1:244" x14ac:dyDescent="0.25">
      <c r="A60" s="137" t="s">
        <v>27</v>
      </c>
      <c r="B60" s="17" t="s">
        <v>197</v>
      </c>
      <c r="C60" s="21">
        <v>2100</v>
      </c>
      <c r="D60" s="21">
        <v>12124.71</v>
      </c>
      <c r="E60" s="21">
        <f>D60*13%</f>
        <v>1576.2122999999999</v>
      </c>
      <c r="F60" s="21">
        <f t="shared" si="2"/>
        <v>3661.6624199999997</v>
      </c>
      <c r="G60" s="138">
        <f t="shared" si="3"/>
        <v>10548.4977</v>
      </c>
    </row>
    <row r="61" spans="1:244" x14ac:dyDescent="0.25">
      <c r="A61" s="137" t="s">
        <v>29</v>
      </c>
      <c r="B61" s="17" t="s">
        <v>197</v>
      </c>
      <c r="C61" s="21">
        <v>2100</v>
      </c>
      <c r="D61" s="21">
        <v>12124.71</v>
      </c>
      <c r="E61" s="21">
        <f>D61*13%</f>
        <v>1576.2122999999999</v>
      </c>
      <c r="F61" s="21">
        <f t="shared" si="2"/>
        <v>3661.6624199999997</v>
      </c>
      <c r="G61" s="138">
        <f t="shared" si="3"/>
        <v>10548.4977</v>
      </c>
    </row>
    <row r="62" spans="1:244" x14ac:dyDescent="0.25">
      <c r="A62" s="137" t="s">
        <v>30</v>
      </c>
      <c r="B62" s="12" t="s">
        <v>198</v>
      </c>
      <c r="C62" s="21">
        <v>2200</v>
      </c>
      <c r="D62" s="21">
        <v>20690</v>
      </c>
      <c r="E62" s="21">
        <f>D62*13%</f>
        <v>2689.7000000000003</v>
      </c>
      <c r="F62" s="21">
        <f t="shared" si="2"/>
        <v>6248.38</v>
      </c>
      <c r="G62" s="138">
        <f>D62-E62</f>
        <v>18000.3</v>
      </c>
    </row>
    <row r="63" spans="1:244" x14ac:dyDescent="0.25">
      <c r="A63" s="137" t="s">
        <v>32</v>
      </c>
      <c r="B63" s="12" t="s">
        <v>198</v>
      </c>
      <c r="C63" s="21">
        <v>2200</v>
      </c>
      <c r="D63" s="21">
        <v>20690</v>
      </c>
      <c r="E63" s="21">
        <f t="shared" si="4"/>
        <v>2689.7000000000003</v>
      </c>
      <c r="F63" s="21">
        <f t="shared" si="2"/>
        <v>6248.38</v>
      </c>
      <c r="G63" s="138">
        <f>D63-E63</f>
        <v>18000.3</v>
      </c>
    </row>
    <row r="64" spans="1:244" x14ac:dyDescent="0.25">
      <c r="A64" s="154" t="s">
        <v>199</v>
      </c>
      <c r="B64" s="155"/>
      <c r="C64" s="21">
        <f>SUM(C54:C63)</f>
        <v>24800</v>
      </c>
      <c r="D64" s="21">
        <f>SUM(D54:D63)</f>
        <v>162575.38821999999</v>
      </c>
      <c r="E64" s="21">
        <f t="shared" ref="E64" si="5">SUM(E54:E63)</f>
        <v>21134.800468599999</v>
      </c>
      <c r="F64" s="21">
        <f>SUM(F54:F63)</f>
        <v>48357.797242439992</v>
      </c>
      <c r="G64" s="21">
        <f>SUM(G54:G63)</f>
        <v>141440.58775140002</v>
      </c>
    </row>
    <row r="66" spans="1:244" x14ac:dyDescent="0.25">
      <c r="A66" s="153" t="s">
        <v>203</v>
      </c>
      <c r="B66" s="153"/>
      <c r="C66" s="153"/>
      <c r="D66" s="153"/>
      <c r="E66" s="153"/>
      <c r="F66" s="153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</row>
    <row r="68" spans="1:244" ht="30" x14ac:dyDescent="0.2">
      <c r="A68" s="133" t="s">
        <v>184</v>
      </c>
      <c r="B68" s="134" t="s">
        <v>185</v>
      </c>
      <c r="C68" s="113" t="s">
        <v>186</v>
      </c>
      <c r="D68" s="135" t="s">
        <v>187</v>
      </c>
      <c r="E68" s="135" t="s">
        <v>188</v>
      </c>
      <c r="F68" s="19" t="s">
        <v>189</v>
      </c>
      <c r="G68" s="136" t="s">
        <v>190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</row>
    <row r="69" spans="1:244" x14ac:dyDescent="0.25">
      <c r="A69" s="137" t="s">
        <v>18</v>
      </c>
      <c r="B69" s="12" t="s">
        <v>191</v>
      </c>
      <c r="C69" s="21">
        <v>4000</v>
      </c>
      <c r="D69" s="21">
        <v>23870</v>
      </c>
      <c r="E69" s="21">
        <f>D69*13%</f>
        <v>3103.1</v>
      </c>
      <c r="F69" s="21">
        <f>D69*27.1%</f>
        <v>6468.77</v>
      </c>
      <c r="G69" s="138">
        <f>D69-E69</f>
        <v>20766.900000000001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</row>
    <row r="70" spans="1:244" x14ac:dyDescent="0.25">
      <c r="A70" s="137" t="s">
        <v>19</v>
      </c>
      <c r="B70" s="17" t="s">
        <v>192</v>
      </c>
      <c r="C70" s="21">
        <v>4800</v>
      </c>
      <c r="D70" s="21">
        <v>26400</v>
      </c>
      <c r="E70" s="21">
        <f>D70*13%</f>
        <v>3432</v>
      </c>
      <c r="F70" s="21">
        <f>D70*30.2%</f>
        <v>7972.8</v>
      </c>
      <c r="G70" s="138">
        <f>D70-E70</f>
        <v>22968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</row>
    <row r="71" spans="1:244" x14ac:dyDescent="0.25">
      <c r="A71" s="137" t="s">
        <v>20</v>
      </c>
      <c r="B71" s="17" t="s">
        <v>193</v>
      </c>
      <c r="C71" s="21">
        <v>2700</v>
      </c>
      <c r="D71" s="21">
        <v>19550</v>
      </c>
      <c r="E71" s="21">
        <f>D71*13%</f>
        <v>2541.5</v>
      </c>
      <c r="F71" s="21">
        <f>D71*30.2%</f>
        <v>5904.0999999999995</v>
      </c>
      <c r="G71" s="138">
        <f>D71-E71</f>
        <v>17008.5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</row>
    <row r="72" spans="1:244" x14ac:dyDescent="0.25">
      <c r="A72" s="137" t="s">
        <v>21</v>
      </c>
      <c r="B72" s="17" t="s">
        <v>194</v>
      </c>
      <c r="C72" s="21">
        <v>900</v>
      </c>
      <c r="D72" s="21">
        <v>5524.7182199999997</v>
      </c>
      <c r="E72" s="21">
        <f>D72*13%</f>
        <v>718.21336859999997</v>
      </c>
      <c r="F72" s="21">
        <f t="shared" ref="F72:F78" si="6">D72*30.2%</f>
        <v>1668.4649024399998</v>
      </c>
      <c r="G72" s="138">
        <f t="shared" ref="G72:G76" si="7">D72-E72</f>
        <v>4806.5048514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</row>
    <row r="73" spans="1:244" x14ac:dyDescent="0.25">
      <c r="A73" s="137" t="s">
        <v>23</v>
      </c>
      <c r="B73" s="12" t="s">
        <v>195</v>
      </c>
      <c r="C73" s="21">
        <v>2300</v>
      </c>
      <c r="D73" s="21">
        <v>12650.000000000002</v>
      </c>
      <c r="E73" s="21">
        <f t="shared" ref="E73:E74" si="8">D73*13%</f>
        <v>1644.5000000000002</v>
      </c>
      <c r="F73" s="21">
        <f t="shared" si="6"/>
        <v>3820.3000000000006</v>
      </c>
      <c r="G73" s="138">
        <f t="shared" si="7"/>
        <v>11005.500000000002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</row>
    <row r="74" spans="1:244" x14ac:dyDescent="0.25">
      <c r="A74" s="137" t="s">
        <v>25</v>
      </c>
      <c r="B74" s="17" t="s">
        <v>196</v>
      </c>
      <c r="C74" s="21">
        <v>1500</v>
      </c>
      <c r="D74" s="21">
        <v>8951.25</v>
      </c>
      <c r="E74" s="21">
        <f t="shared" si="8"/>
        <v>1163.6625000000001</v>
      </c>
      <c r="F74" s="21">
        <f t="shared" si="6"/>
        <v>2703.2774999999997</v>
      </c>
      <c r="G74" s="138">
        <f t="shared" si="7"/>
        <v>7787.5874999999996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</row>
    <row r="75" spans="1:244" x14ac:dyDescent="0.25">
      <c r="A75" s="137" t="s">
        <v>27</v>
      </c>
      <c r="B75" s="17" t="s">
        <v>197</v>
      </c>
      <c r="C75" s="21">
        <v>2100</v>
      </c>
      <c r="D75" s="21">
        <v>12124.71</v>
      </c>
      <c r="E75" s="21">
        <f>D75*13%</f>
        <v>1576.2122999999999</v>
      </c>
      <c r="F75" s="21">
        <f t="shared" si="6"/>
        <v>3661.6624199999997</v>
      </c>
      <c r="G75" s="138">
        <f t="shared" si="7"/>
        <v>10548.4977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</row>
    <row r="76" spans="1:244" x14ac:dyDescent="0.25">
      <c r="A76" s="137" t="s">
        <v>29</v>
      </c>
      <c r="B76" s="17" t="s">
        <v>197</v>
      </c>
      <c r="C76" s="21">
        <v>2100</v>
      </c>
      <c r="D76" s="21">
        <v>12124.71</v>
      </c>
      <c r="E76" s="21">
        <f>D76*13%</f>
        <v>1576.2122999999999</v>
      </c>
      <c r="F76" s="21">
        <f t="shared" si="6"/>
        <v>3661.6624199999997</v>
      </c>
      <c r="G76" s="138">
        <f t="shared" si="7"/>
        <v>10548.4977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</row>
    <row r="77" spans="1:244" x14ac:dyDescent="0.25">
      <c r="A77" s="137" t="s">
        <v>30</v>
      </c>
      <c r="B77" s="12" t="s">
        <v>198</v>
      </c>
      <c r="C77" s="21">
        <v>2200</v>
      </c>
      <c r="D77" s="21">
        <v>14061.499</v>
      </c>
      <c r="E77" s="21">
        <f>D77*13%</f>
        <v>1827.99487</v>
      </c>
      <c r="F77" s="21">
        <f t="shared" si="6"/>
        <v>4246.5726979999999</v>
      </c>
      <c r="G77" s="138">
        <f>D77-E77</f>
        <v>12233.504129999999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</row>
    <row r="78" spans="1:244" x14ac:dyDescent="0.25">
      <c r="A78" s="137" t="s">
        <v>32</v>
      </c>
      <c r="B78" s="12" t="s">
        <v>198</v>
      </c>
      <c r="C78" s="21">
        <v>2200</v>
      </c>
      <c r="D78" s="21">
        <v>14061.499</v>
      </c>
      <c r="E78" s="21">
        <f t="shared" ref="E78" si="9">D78*13%</f>
        <v>1827.99487</v>
      </c>
      <c r="F78" s="21">
        <f t="shared" si="6"/>
        <v>4246.5726979999999</v>
      </c>
      <c r="G78" s="138">
        <f>D78-E78</f>
        <v>12233.504129999999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</row>
    <row r="79" spans="1:244" x14ac:dyDescent="0.25">
      <c r="A79" s="154" t="s">
        <v>199</v>
      </c>
      <c r="B79" s="155"/>
      <c r="C79" s="21">
        <f>SUM(C69:C78)</f>
        <v>24800</v>
      </c>
      <c r="D79" s="21">
        <f>SUM(D69:D78)</f>
        <v>149318.38622000001</v>
      </c>
      <c r="E79" s="21">
        <f t="shared" ref="E79" si="10">SUM(E69:E78)</f>
        <v>19411.390208599998</v>
      </c>
      <c r="F79" s="21">
        <f>SUM(F69:F78)</f>
        <v>44354.182638440005</v>
      </c>
      <c r="G79" s="21">
        <f>SUM(G69:G78)</f>
        <v>129906.99601140001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</row>
    <row r="81" spans="1:244" x14ac:dyDescent="0.25">
      <c r="A81" s="153" t="s">
        <v>200</v>
      </c>
      <c r="B81" s="153"/>
      <c r="C81" s="153"/>
      <c r="D81" s="153"/>
      <c r="E81" s="153"/>
      <c r="F81" s="153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</row>
    <row r="83" spans="1:244" ht="30" x14ac:dyDescent="0.2">
      <c r="A83" s="133" t="s">
        <v>184</v>
      </c>
      <c r="B83" s="134" t="s">
        <v>185</v>
      </c>
      <c r="C83" s="113" t="s">
        <v>186</v>
      </c>
      <c r="D83" s="135" t="s">
        <v>187</v>
      </c>
      <c r="E83" s="135" t="s">
        <v>188</v>
      </c>
      <c r="F83" s="19" t="s">
        <v>189</v>
      </c>
      <c r="G83" s="136" t="s">
        <v>190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</row>
    <row r="84" spans="1:244" x14ac:dyDescent="0.25">
      <c r="A84" s="137" t="s">
        <v>18</v>
      </c>
      <c r="B84" s="12" t="s">
        <v>191</v>
      </c>
      <c r="C84" s="21">
        <v>4000</v>
      </c>
      <c r="D84" s="21">
        <v>26257</v>
      </c>
      <c r="E84" s="21">
        <f>D84*13%</f>
        <v>3413.4100000000003</v>
      </c>
      <c r="F84" s="21">
        <f>D84*27.1%</f>
        <v>7115.6470000000008</v>
      </c>
      <c r="G84" s="141">
        <f>D84-E84</f>
        <v>22843.59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</row>
    <row r="85" spans="1:244" x14ac:dyDescent="0.25">
      <c r="A85" s="137" t="s">
        <v>19</v>
      </c>
      <c r="B85" s="17" t="s">
        <v>192</v>
      </c>
      <c r="C85" s="21">
        <v>4800</v>
      </c>
      <c r="D85" s="21">
        <v>29040</v>
      </c>
      <c r="E85" s="21">
        <f>D85*13%</f>
        <v>3775.2000000000003</v>
      </c>
      <c r="F85" s="21">
        <f>D85*30.2%</f>
        <v>8770.08</v>
      </c>
      <c r="G85" s="141">
        <f>D85-E85</f>
        <v>25264.799999999999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</row>
    <row r="86" spans="1:244" x14ac:dyDescent="0.25">
      <c r="A86" s="137" t="s">
        <v>20</v>
      </c>
      <c r="B86" s="17" t="s">
        <v>193</v>
      </c>
      <c r="C86" s="21">
        <v>2700</v>
      </c>
      <c r="D86" s="21">
        <v>19550</v>
      </c>
      <c r="E86" s="21">
        <f>D86*13%</f>
        <v>2541.5</v>
      </c>
      <c r="F86" s="21">
        <f>D86*30.2%</f>
        <v>5904.0999999999995</v>
      </c>
      <c r="G86" s="141">
        <f>D86-E86</f>
        <v>17008.5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</row>
    <row r="87" spans="1:244" x14ac:dyDescent="0.25">
      <c r="A87" s="137" t="s">
        <v>21</v>
      </c>
      <c r="B87" s="17" t="s">
        <v>194</v>
      </c>
      <c r="C87" s="21">
        <v>900</v>
      </c>
      <c r="D87" s="21">
        <v>5524.7182199999997</v>
      </c>
      <c r="E87" s="21">
        <f>D87*13%</f>
        <v>718.21336859999997</v>
      </c>
      <c r="F87" s="21">
        <f t="shared" ref="F87:F93" si="11">D87*30.2%</f>
        <v>1668.4649024399998</v>
      </c>
      <c r="G87" s="141">
        <f t="shared" ref="G87:G89" si="12">D87-E87</f>
        <v>4806.5048514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</row>
    <row r="88" spans="1:244" x14ac:dyDescent="0.25">
      <c r="A88" s="137" t="s">
        <v>23</v>
      </c>
      <c r="B88" s="12" t="s">
        <v>195</v>
      </c>
      <c r="C88" s="21">
        <v>2300</v>
      </c>
      <c r="D88" s="21">
        <v>12650.000000000002</v>
      </c>
      <c r="E88" s="21">
        <f t="shared" ref="E88:E89" si="13">D88*13%</f>
        <v>1644.5000000000002</v>
      </c>
      <c r="F88" s="21">
        <f t="shared" si="11"/>
        <v>3820.3000000000006</v>
      </c>
      <c r="G88" s="141">
        <f t="shared" si="12"/>
        <v>11005.500000000002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</row>
    <row r="89" spans="1:244" x14ac:dyDescent="0.25">
      <c r="A89" s="137" t="s">
        <v>25</v>
      </c>
      <c r="B89" s="17" t="s">
        <v>196</v>
      </c>
      <c r="C89" s="21">
        <v>1500</v>
      </c>
      <c r="D89" s="21">
        <v>8951.25</v>
      </c>
      <c r="E89" s="21">
        <f t="shared" si="13"/>
        <v>1163.6625000000001</v>
      </c>
      <c r="F89" s="21">
        <f t="shared" si="11"/>
        <v>2703.2774999999997</v>
      </c>
      <c r="G89" s="141">
        <f t="shared" si="12"/>
        <v>7787.5874999999996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</row>
    <row r="90" spans="1:244" x14ac:dyDescent="0.25">
      <c r="A90" s="137" t="s">
        <v>27</v>
      </c>
      <c r="B90" s="17" t="s">
        <v>197</v>
      </c>
      <c r="C90" s="21">
        <v>2100</v>
      </c>
      <c r="D90" s="21">
        <v>13942.53</v>
      </c>
      <c r="E90" s="21">
        <f>D90*13%</f>
        <v>1812.5289000000002</v>
      </c>
      <c r="F90" s="21">
        <f>D90*30.2%</f>
        <v>4210.6440599999996</v>
      </c>
      <c r="G90" s="141">
        <f>D90-E90</f>
        <v>12130.001100000001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</row>
    <row r="91" spans="1:244" x14ac:dyDescent="0.25">
      <c r="A91" s="137" t="s">
        <v>29</v>
      </c>
      <c r="B91" s="17" t="s">
        <v>197</v>
      </c>
      <c r="C91" s="21">
        <v>2100</v>
      </c>
      <c r="D91" s="21">
        <v>13942.53</v>
      </c>
      <c r="E91" s="21">
        <f>D91*13%</f>
        <v>1812.5289000000002</v>
      </c>
      <c r="F91" s="21">
        <f t="shared" si="11"/>
        <v>4210.6440599999996</v>
      </c>
      <c r="G91" s="141">
        <f>D91-E91</f>
        <v>12130.001100000001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</row>
    <row r="92" spans="1:244" x14ac:dyDescent="0.25">
      <c r="A92" s="137" t="s">
        <v>30</v>
      </c>
      <c r="B92" s="12" t="s">
        <v>198</v>
      </c>
      <c r="C92" s="21">
        <v>2200</v>
      </c>
      <c r="D92" s="21">
        <v>14061.499</v>
      </c>
      <c r="E92" s="21">
        <f>D92*13%</f>
        <v>1827.99487</v>
      </c>
      <c r="F92" s="21">
        <f t="shared" si="11"/>
        <v>4246.5726979999999</v>
      </c>
      <c r="G92" s="141">
        <f>D92-E92</f>
        <v>12233.504129999999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</row>
    <row r="93" spans="1:244" x14ac:dyDescent="0.25">
      <c r="A93" s="137" t="s">
        <v>32</v>
      </c>
      <c r="B93" s="12" t="s">
        <v>198</v>
      </c>
      <c r="C93" s="21">
        <v>2200</v>
      </c>
      <c r="D93" s="21">
        <v>14061.499</v>
      </c>
      <c r="E93" s="21">
        <f t="shared" ref="E93" si="14">D93*13%</f>
        <v>1827.99487</v>
      </c>
      <c r="F93" s="21">
        <f t="shared" si="11"/>
        <v>4246.5726979999999</v>
      </c>
      <c r="G93" s="141">
        <f>D93-E93</f>
        <v>12233.504129999999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</row>
    <row r="94" spans="1:244" x14ac:dyDescent="0.25">
      <c r="A94" s="154" t="s">
        <v>199</v>
      </c>
      <c r="B94" s="155"/>
      <c r="C94" s="21">
        <f>SUM(C84:C93)</f>
        <v>24800</v>
      </c>
      <c r="D94" s="21">
        <f>SUM(D84:D93)</f>
        <v>157981.02622</v>
      </c>
      <c r="E94" s="21">
        <f t="shared" ref="E94" si="15">SUM(E84:E93)</f>
        <v>20537.5334086</v>
      </c>
      <c r="F94" s="21">
        <f>SUM(F84:F93)</f>
        <v>46896.302918440007</v>
      </c>
      <c r="G94" s="31">
        <f>SUM(G84:G93)</f>
        <v>137443.49281139998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</row>
    <row r="96" spans="1:244" x14ac:dyDescent="0.25">
      <c r="A96" s="153" t="s">
        <v>201</v>
      </c>
      <c r="B96" s="153"/>
      <c r="C96" s="153"/>
      <c r="D96" s="153"/>
      <c r="E96" s="153"/>
      <c r="F96" s="153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</row>
    <row r="98" spans="1:244" ht="30" x14ac:dyDescent="0.2">
      <c r="A98" s="133" t="s">
        <v>184</v>
      </c>
      <c r="B98" s="134" t="s">
        <v>185</v>
      </c>
      <c r="C98" s="113" t="s">
        <v>186</v>
      </c>
      <c r="D98" s="135" t="s">
        <v>187</v>
      </c>
      <c r="E98" s="135" t="s">
        <v>188</v>
      </c>
      <c r="F98" s="19" t="s">
        <v>189</v>
      </c>
      <c r="G98" s="136" t="s">
        <v>190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</row>
    <row r="99" spans="1:244" x14ac:dyDescent="0.25">
      <c r="A99" s="137" t="s">
        <v>18</v>
      </c>
      <c r="B99" s="12" t="s">
        <v>191</v>
      </c>
      <c r="C99" s="21">
        <v>4000</v>
      </c>
      <c r="D99" s="21">
        <v>26257</v>
      </c>
      <c r="E99" s="21">
        <f>D99*13%</f>
        <v>3413.4100000000003</v>
      </c>
      <c r="F99" s="21">
        <f>D99*27.1%</f>
        <v>7115.6470000000008</v>
      </c>
      <c r="G99" s="141">
        <f>D99-E99</f>
        <v>22843.59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</row>
    <row r="100" spans="1:244" x14ac:dyDescent="0.25">
      <c r="A100" s="137" t="s">
        <v>19</v>
      </c>
      <c r="B100" s="17" t="s">
        <v>192</v>
      </c>
      <c r="C100" s="21">
        <v>4800</v>
      </c>
      <c r="D100" s="21">
        <v>29040</v>
      </c>
      <c r="E100" s="21">
        <f>D100*13%</f>
        <v>3775.2000000000003</v>
      </c>
      <c r="F100" s="21">
        <f>D100*30.2%</f>
        <v>8770.08</v>
      </c>
      <c r="G100" s="141">
        <f>D100-E100</f>
        <v>25264.799999999999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</row>
    <row r="101" spans="1:244" x14ac:dyDescent="0.25">
      <c r="A101" s="137" t="s">
        <v>20</v>
      </c>
      <c r="B101" s="17" t="s">
        <v>193</v>
      </c>
      <c r="C101" s="21">
        <v>2700</v>
      </c>
      <c r="D101" s="21">
        <v>19550</v>
      </c>
      <c r="E101" s="21">
        <f>D101*13%</f>
        <v>2541.5</v>
      </c>
      <c r="F101" s="21">
        <f>D101*30.2%</f>
        <v>5904.0999999999995</v>
      </c>
      <c r="G101" s="141">
        <f>D101-E101</f>
        <v>17008.5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</row>
    <row r="102" spans="1:244" x14ac:dyDescent="0.25">
      <c r="A102" s="137" t="s">
        <v>21</v>
      </c>
      <c r="B102" s="17" t="s">
        <v>194</v>
      </c>
      <c r="C102" s="21">
        <v>900</v>
      </c>
      <c r="D102" s="21">
        <v>5524.7182199999997</v>
      </c>
      <c r="E102" s="21">
        <f>D102*13%</f>
        <v>718.21336859999997</v>
      </c>
      <c r="F102" s="21">
        <f t="shared" ref="F102:F108" si="16">D102*30.2%</f>
        <v>1668.4649024399998</v>
      </c>
      <c r="G102" s="141">
        <f t="shared" ref="G102:G106" si="17">D102-E102</f>
        <v>4806.5048514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</row>
    <row r="103" spans="1:244" x14ac:dyDescent="0.25">
      <c r="A103" s="137" t="s">
        <v>23</v>
      </c>
      <c r="B103" s="12" t="s">
        <v>195</v>
      </c>
      <c r="C103" s="21">
        <v>2300</v>
      </c>
      <c r="D103" s="21">
        <v>12650.000000000002</v>
      </c>
      <c r="E103" s="21">
        <f t="shared" ref="E103:E104" si="18">D103*13%</f>
        <v>1644.5000000000002</v>
      </c>
      <c r="F103" s="21">
        <f t="shared" si="16"/>
        <v>3820.3000000000006</v>
      </c>
      <c r="G103" s="141">
        <f t="shared" si="17"/>
        <v>11005.500000000002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</row>
    <row r="104" spans="1:244" x14ac:dyDescent="0.25">
      <c r="A104" s="137" t="s">
        <v>25</v>
      </c>
      <c r="B104" s="17" t="s">
        <v>196</v>
      </c>
      <c r="C104" s="21">
        <v>1500</v>
      </c>
      <c r="D104" s="21">
        <v>8951.25</v>
      </c>
      <c r="E104" s="21">
        <f t="shared" si="18"/>
        <v>1163.6625000000001</v>
      </c>
      <c r="F104" s="21">
        <f t="shared" si="16"/>
        <v>2703.2774999999997</v>
      </c>
      <c r="G104" s="141">
        <f t="shared" si="17"/>
        <v>7787.5874999999996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</row>
    <row r="105" spans="1:244" x14ac:dyDescent="0.25">
      <c r="A105" s="137" t="s">
        <v>27</v>
      </c>
      <c r="B105" s="17" t="s">
        <v>197</v>
      </c>
      <c r="C105" s="21">
        <v>2100</v>
      </c>
      <c r="D105" s="21">
        <v>13942.53</v>
      </c>
      <c r="E105" s="21">
        <f>D105*13%</f>
        <v>1812.5289000000002</v>
      </c>
      <c r="F105" s="21">
        <f t="shared" si="16"/>
        <v>4210.6440599999996</v>
      </c>
      <c r="G105" s="141">
        <f t="shared" si="17"/>
        <v>12130.001100000001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</row>
    <row r="106" spans="1:244" x14ac:dyDescent="0.25">
      <c r="A106" s="137" t="s">
        <v>29</v>
      </c>
      <c r="B106" s="17" t="s">
        <v>197</v>
      </c>
      <c r="C106" s="21">
        <v>2100</v>
      </c>
      <c r="D106" s="21">
        <v>13942.53</v>
      </c>
      <c r="E106" s="21">
        <f>D106*13%</f>
        <v>1812.5289000000002</v>
      </c>
      <c r="F106" s="21">
        <f t="shared" si="16"/>
        <v>4210.6440599999996</v>
      </c>
      <c r="G106" s="141">
        <f t="shared" si="17"/>
        <v>12130.001100000001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</row>
    <row r="107" spans="1:244" x14ac:dyDescent="0.25">
      <c r="A107" s="137" t="s">
        <v>30</v>
      </c>
      <c r="B107" s="12" t="s">
        <v>198</v>
      </c>
      <c r="C107" s="21">
        <v>2200</v>
      </c>
      <c r="D107" s="21">
        <v>20690</v>
      </c>
      <c r="E107" s="21">
        <f>D107*13%</f>
        <v>2689.7000000000003</v>
      </c>
      <c r="F107" s="21">
        <f t="shared" si="16"/>
        <v>6248.38</v>
      </c>
      <c r="G107" s="141">
        <f>D107-E107</f>
        <v>18000.3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</row>
    <row r="108" spans="1:244" x14ac:dyDescent="0.25">
      <c r="A108" s="137" t="s">
        <v>32</v>
      </c>
      <c r="B108" s="12" t="s">
        <v>198</v>
      </c>
      <c r="C108" s="21">
        <v>2200</v>
      </c>
      <c r="D108" s="21">
        <v>20690</v>
      </c>
      <c r="E108" s="21">
        <f t="shared" ref="E108" si="19">D108*13%</f>
        <v>2689.7000000000003</v>
      </c>
      <c r="F108" s="21">
        <f t="shared" si="16"/>
        <v>6248.38</v>
      </c>
      <c r="G108" s="141">
        <f>D108-E108</f>
        <v>18000.3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</row>
    <row r="109" spans="1:244" x14ac:dyDescent="0.25">
      <c r="A109" s="154" t="s">
        <v>199</v>
      </c>
      <c r="B109" s="155"/>
      <c r="C109" s="21">
        <f>SUM(C99:C108)</f>
        <v>24800</v>
      </c>
      <c r="D109" s="21">
        <f>SUM(D99:D108)</f>
        <v>171238.02821999998</v>
      </c>
      <c r="E109" s="21">
        <f t="shared" ref="E109" si="20">SUM(E99:E108)</f>
        <v>22260.943668600004</v>
      </c>
      <c r="F109" s="21">
        <f>SUM(F99:F108)</f>
        <v>50899.917522439995</v>
      </c>
      <c r="G109" s="31">
        <f>SUM(G99:G108)</f>
        <v>148977.08455139998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</row>
    <row r="111" spans="1:244" x14ac:dyDescent="0.25"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</row>
  </sheetData>
  <mergeCells count="26">
    <mergeCell ref="A7:B7"/>
    <mergeCell ref="A8:B8"/>
    <mergeCell ref="A9:B9"/>
    <mergeCell ref="A11:A14"/>
    <mergeCell ref="B11:B14"/>
    <mergeCell ref="A49:F49"/>
    <mergeCell ref="F11:F12"/>
    <mergeCell ref="D13:D14"/>
    <mergeCell ref="E13:E14"/>
    <mergeCell ref="F13:F14"/>
    <mergeCell ref="A15:F15"/>
    <mergeCell ref="F17:F29"/>
    <mergeCell ref="D11:E12"/>
    <mergeCell ref="A39:F39"/>
    <mergeCell ref="F42:G42"/>
    <mergeCell ref="A43:A44"/>
    <mergeCell ref="F43:G43"/>
    <mergeCell ref="A45:A46"/>
    <mergeCell ref="A96:F96"/>
    <mergeCell ref="A109:B109"/>
    <mergeCell ref="A51:F51"/>
    <mergeCell ref="A64:B64"/>
    <mergeCell ref="A66:F66"/>
    <mergeCell ref="A79:B79"/>
    <mergeCell ref="A81:F81"/>
    <mergeCell ref="A94:B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Исполнение сметы 20</vt:lpstr>
      <vt:lpstr>Смета 21</vt:lpstr>
      <vt:lpstr>Тарифы</vt:lpstr>
      <vt:lpstr>'Исполнение сметы 20'!Область_печати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Lesha</dc:creator>
  <cp:lastModifiedBy>kleptsov.ra</cp:lastModifiedBy>
  <cp:revision>1</cp:revision>
  <cp:lastPrinted>2021-06-19T13:22:44Z</cp:lastPrinted>
  <dcterms:created xsi:type="dcterms:W3CDTF">2017-03-15T12:23:53Z</dcterms:created>
  <dcterms:modified xsi:type="dcterms:W3CDTF">2021-08-01T14:02:50Z</dcterms:modified>
</cp:coreProperties>
</file>